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75" windowHeight="6150" tabRatio="599" firstSheet="16" activeTab="20"/>
  </bookViews>
  <sheets>
    <sheet name="สำนักปลัด (3)" sheetId="1" r:id="rId1"/>
    <sheet name="สำนักปลัด (2)" sheetId="2" r:id="rId2"/>
    <sheet name="สำนักปลัด" sheetId="3" r:id="rId3"/>
    <sheet name="การคลัง (3)" sheetId="4" r:id="rId4"/>
    <sheet name="การคลัง (2)" sheetId="5" r:id="rId5"/>
    <sheet name="การคลัง" sheetId="6" r:id="rId6"/>
    <sheet name="ส่วนโยธา (3)" sheetId="7" r:id="rId7"/>
    <sheet name="ส่วนโยธา (2)" sheetId="8" r:id="rId8"/>
    <sheet name="ส่วนโยธา" sheetId="9" r:id="rId9"/>
    <sheet name="ส่วนศึกษา (3)" sheetId="10" r:id="rId10"/>
    <sheet name="ส่วนศึกษา (2)" sheetId="11" r:id="rId11"/>
    <sheet name="ส่วนศึกษา" sheetId="12" r:id="rId12"/>
    <sheet name="งบกลาง (3)" sheetId="13" r:id="rId13"/>
    <sheet name="งบกลาง (2)" sheetId="14" r:id="rId14"/>
    <sheet name="งบกลาง" sheetId="15" r:id="rId15"/>
    <sheet name="รายจ่ายรอจ่าย" sheetId="16" r:id="rId16"/>
    <sheet name="จ่ายขาดเงินสะสม (3)" sheetId="17" r:id="rId17"/>
    <sheet name="จ่ายขาดเงินสะสม (2)" sheetId="18" r:id="rId18"/>
    <sheet name="จ่ายขาดเงินสะสม" sheetId="19" r:id="rId19"/>
    <sheet name="เงินนอกงบประมาณ" sheetId="20" r:id="rId20"/>
    <sheet name="Sheet4" sheetId="21" r:id="rId21"/>
    <sheet name="Sheet1" sheetId="22" r:id="rId22"/>
  </sheets>
  <definedNames>
    <definedName name="_xlnm.Print_Area" localSheetId="19">'เงินนอกงบประมาณ'!$A$1:$V$81</definedName>
    <definedName name="_xlnm.Print_Area" localSheetId="18">'จ่ายขาดเงินสะสม'!$A$1:$V$107</definedName>
    <definedName name="_xlnm.Print_Area" localSheetId="17">'จ่ายขาดเงินสะสม (2)'!$A$1:$V$90</definedName>
    <definedName name="_xlnm.Print_Area" localSheetId="16">'จ่ายขาดเงินสะสม (3)'!$A$1:$E$91</definedName>
    <definedName name="_xlnm.Print_Area" localSheetId="15">'รายจ่ายรอจ่าย'!$A$1:$U$97</definedName>
    <definedName name="_xlnm.Print_Area" localSheetId="11">'ส่วนศึกษา'!$A$1:$U$171</definedName>
    <definedName name="_xlnm.Print_Area" localSheetId="10">'ส่วนศึกษา (2)'!$A$1:$S$137</definedName>
    <definedName name="_xlnm.Print_Area" localSheetId="9">'ส่วนศึกษา (3)'!$A$1:$D$96</definedName>
  </definedNames>
  <calcPr fullCalcOnLoad="1"/>
</workbook>
</file>

<file path=xl/sharedStrings.xml><?xml version="1.0" encoding="utf-8"?>
<sst xmlns="http://schemas.openxmlformats.org/spreadsheetml/2006/main" count="2034" uniqueCount="595">
  <si>
    <t>รวม</t>
  </si>
  <si>
    <t>สำนักปลัดฯ</t>
  </si>
  <si>
    <t>ส่วนโยธา</t>
  </si>
  <si>
    <t>ส่วนการศึกษา</t>
  </si>
  <si>
    <t>รายการ</t>
  </si>
  <si>
    <t>คงเหลือ</t>
  </si>
  <si>
    <t>จำนวนเงิน</t>
  </si>
  <si>
    <t>รวมทั้งสิ้น</t>
  </si>
  <si>
    <t>รหัส</t>
  </si>
  <si>
    <t>โอน</t>
  </si>
  <si>
    <t>เพิ่ม</t>
  </si>
  <si>
    <t>ลด</t>
  </si>
  <si>
    <t>1. หมวดเงินเดือนและค่าจ้างประจำ</t>
  </si>
  <si>
    <t xml:space="preserve"> - ค่าตอบแทนรายเดือนให้แกพนักงานจ้าง  3  อัตรา</t>
  </si>
  <si>
    <t xml:space="preserve"> - เงินเพิ่มค่าครองชีพพนักงานจ้าง  3  อัตรา</t>
  </si>
  <si>
    <t>1.1 หมวดเงินเดือนค่าจ้างประจำ</t>
  </si>
  <si>
    <t xml:space="preserve"> - ค่าธรรมเนียม  และค่าลงทะเบียนต่างๆ</t>
  </si>
  <si>
    <t>ค่าวัสดุ</t>
  </si>
  <si>
    <t>1.2  หมวด  ค่าจ้างชั่วคราว</t>
  </si>
  <si>
    <t>หมวดเงินเดือนและค่าจ้างประจำ</t>
  </si>
  <si>
    <t xml:space="preserve"> - 2 -</t>
  </si>
  <si>
    <t xml:space="preserve"> - 3 -</t>
  </si>
  <si>
    <t>รายจ่ายประจำ</t>
  </si>
  <si>
    <t>ค่าใช้สอย</t>
  </si>
  <si>
    <t xml:space="preserve"> - 4 -</t>
  </si>
  <si>
    <t>รวมเงิน</t>
  </si>
  <si>
    <t>ต.ค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</si>
  <si>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</si>
  <si>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</si>
  <si>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</si>
  <si>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</si>
  <si>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</si>
  <si>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</si>
  <si>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</si>
  <si>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</si>
  <si>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</si>
  <si>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</si>
  <si>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</si>
  <si>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รายจ่ายเพื่อการลงทุน</t>
  </si>
  <si>
    <t>หมวด ค่าครุภัณฑ์ที่ดินและสิ่งก่อสร้าง</t>
  </si>
  <si>
    <t>ค่าที่ดินและสิ่งก่อสร้าง</t>
  </si>
  <si>
    <t>ประเภท  ถนน</t>
  </si>
  <si>
    <t xml:space="preserve"> - ค่าตอบแทนรายเดือนให้แกพนักงานจ้าง  2  อัตรา</t>
  </si>
  <si>
    <t xml:space="preserve"> - เงินเพิ่มค่าครองชีพพนักงานจ้าง  2  อัตรา</t>
  </si>
  <si>
    <t xml:space="preserve"> - ค่าตอบแทนรายเดือนให้แกพนักงานจ้าง  1  อัตรา</t>
  </si>
  <si>
    <t xml:space="preserve"> - เงินเพิ่มค่าครองชีพพนักงานจ้าง  1  อัตรา</t>
  </si>
  <si>
    <t>ส่วนศึกษาฯ</t>
  </si>
  <si>
    <t>รายจ่ายงบกลาง</t>
  </si>
  <si>
    <t xml:space="preserve"> - เงินเดือน/ ค่าตอบแทนผู้บริหารฯ</t>
  </si>
  <si>
    <t xml:space="preserve"> - เงินเพิ่มค่าครองชีพพนักงานส่วนตำบล</t>
  </si>
  <si>
    <t>บาท</t>
  </si>
  <si>
    <t>ประมาณการรวม</t>
  </si>
  <si>
    <t>คลัง</t>
  </si>
  <si>
    <t>ปลัดฯ</t>
  </si>
  <si>
    <t>งบกลาง</t>
  </si>
  <si>
    <t xml:space="preserve">    - ค่าใช้จ่ายในการเดินทางไปราชการ</t>
  </si>
  <si>
    <r>
      <t>หมวด</t>
    </r>
    <r>
      <rPr>
        <b/>
        <sz val="12"/>
        <rFont val="Angsana New"/>
        <family val="1"/>
      </rPr>
      <t xml:space="preserve">  เงินเดือน</t>
    </r>
  </si>
  <si>
    <r>
      <t>ประเภท</t>
    </r>
    <r>
      <rPr>
        <sz val="12"/>
        <rFont val="Angsana New"/>
        <family val="1"/>
      </rPr>
      <t xml:space="preserve">  เงินเดือนพนักงานพนักงานส่วนตำบล</t>
    </r>
  </si>
  <si>
    <r>
      <t>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เงินเพิ่มค่าครองชีพพนักงานส่วนตำบล</t>
    </r>
  </si>
  <si>
    <r>
      <t>ประเภท</t>
    </r>
    <r>
      <rPr>
        <b/>
        <sz val="12"/>
        <rFont val="Angsana New"/>
        <family val="1"/>
      </rPr>
      <t xml:space="preserve">  เงินเดือนหรือเงินที่จ่ายเพิ่มให้แก่พนักงานจ้าง</t>
    </r>
  </si>
  <si>
    <r>
      <t>1.3.3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ายจ่ายเพื่อให้ได้มาซึ่งบริการ</t>
    </r>
  </si>
  <si>
    <r>
      <t>ประเภท</t>
    </r>
    <r>
      <rPr>
        <sz val="12"/>
        <rFont val="Angsana New"/>
        <family val="1"/>
      </rPr>
      <t xml:space="preserve">  เงินเดือนพนักงานส่วนตำบล</t>
    </r>
  </si>
  <si>
    <t xml:space="preserve"> - ค่ารับวารสารและสิ่งพิมพ์ต่าง ๆ </t>
  </si>
  <si>
    <t xml:space="preserve"> - ค่าตอบแทนรายเดือนให้แกพนักงานจ้าง 1 อัตรา</t>
  </si>
  <si>
    <t xml:space="preserve">ที่ไม่เข้าลักษณะรายจ่ายหมวดอื่น ๆ </t>
  </si>
  <si>
    <t xml:space="preserve"> - ค่าใช้จ่ายในการเดินทางไปราชการ</t>
  </si>
  <si>
    <t>หมู่ที่ 6  บ้านโพธิ์เงิน  (ซอยเข้าบ้านนางจัด)</t>
  </si>
  <si>
    <t xml:space="preserve"> - ค่าจ้างเหมาประกอบอาหารให้เด็กเล็กศูนย์พัฒนาเด็กเล็ก  อบต.</t>
  </si>
  <si>
    <r>
      <t xml:space="preserve"> </t>
    </r>
    <r>
      <rPr>
        <sz val="12"/>
        <rFont val="Angsana New"/>
        <family val="1"/>
      </rPr>
      <t>- ค่าใช้จ่ายในการเดินทางไปราชการสำหรับค่าเบี้ยเลี้ยง ค่าพาหนะฯ</t>
    </r>
  </si>
  <si>
    <t>เป็นเงิน</t>
  </si>
  <si>
    <r>
      <t>ประเภท</t>
    </r>
    <r>
      <rPr>
        <b/>
        <sz val="12"/>
        <rFont val="Angsana New"/>
        <family val="1"/>
      </rPr>
      <t xml:space="preserve"> เงินเดือนหรือเงินที่จ่ายให้แก่พนักงานฯ</t>
    </r>
  </si>
  <si>
    <t>สำนักปลัด</t>
  </si>
  <si>
    <t xml:space="preserve"> - เงินเดือนพนักงาน  </t>
  </si>
  <si>
    <t xml:space="preserve"> - เงินประจำตำแหน่งปลัด อบต.ระดับ 7</t>
  </si>
  <si>
    <t xml:space="preserve"> แผ่นดิสเกต เมาท์ แผ่นกรองแสงฯลฯ</t>
  </si>
  <si>
    <t xml:space="preserve">    (ทางเข้าบ้านพะโค)</t>
  </si>
  <si>
    <t>(ซอยทางเข้าบ้านเกาะ)</t>
  </si>
  <si>
    <t>(ซอยร่มเย็น)</t>
  </si>
  <si>
    <t>(จากบ้านนายปิ่นถึงสะพาน)</t>
  </si>
  <si>
    <t>รวมทั้งปี</t>
  </si>
  <si>
    <r>
      <t>1.3.5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ายจ่ายเพื่อให้ได้มาซึ่งบริการ</t>
    </r>
  </si>
  <si>
    <t xml:space="preserve"> - ค่าธรรมเนียมและค่าลงทะเบียนต่างๆ</t>
  </si>
  <si>
    <r>
      <t>1.3.6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ายจ่ายเกี่ยวเนื่องกับการปฏิบัติราชการ</t>
    </r>
  </si>
  <si>
    <r>
      <t>1.3.7  ประเภท</t>
    </r>
    <r>
      <rPr>
        <b/>
        <sz val="12"/>
        <rFont val="Angsana New"/>
        <family val="1"/>
      </rPr>
      <t xml:space="preserve"> </t>
    </r>
    <r>
      <rPr>
        <sz val="12"/>
        <rFont val="Angsana New"/>
        <family val="1"/>
      </rPr>
      <t>รายจ่ายเพื่อบำรุงรักษาหรือซ่อมแซม</t>
    </r>
  </si>
  <si>
    <t>หมวดค่าครุภัณฑ์ที่ดินและสิ่งก่อสร้าง</t>
  </si>
  <si>
    <t xml:space="preserve">งบประมาณรายจ่าย  ประจำปีงบประมาณ  2553  ตั้งแต่วันที่ 1  ตุลาคม  2552  ถึงวันที่  30  กันยายน  2553 </t>
  </si>
  <si>
    <t xml:space="preserve">เงินอุดหนุนทั่วไป    ( เงินนอกงบประมาณ ) </t>
  </si>
  <si>
    <t>1.โครงการก่อสร้างถนน ลูกรัง ม.3 (ซอยสายหนองตาหรั่ง)</t>
  </si>
  <si>
    <t>2.โครงการปรับปรุงถนนคอนกรีตเสริมเหล็ก ม.5 บ้านพะโค</t>
  </si>
  <si>
    <t>3.โครงการก่อสร้างถนนคอนกรีตเสริมเหล็ก ม.8 บ้านชะอม</t>
  </si>
  <si>
    <t>4.โครงการก่อสร้างถนน คสล. ม.10 บ้านใหม่</t>
  </si>
  <si>
    <t>5.โครงการก่อสร้างถนน คสล. ม.11 บ้านปรางค์พะโค</t>
  </si>
  <si>
    <t>6. โครงการก่อสร้างรั้วรอบสำนักงาน อบต.กระโทก</t>
  </si>
  <si>
    <t>ค่าตอบแทน</t>
  </si>
  <si>
    <t xml:space="preserve"> - ค่าจ้างพนักงานจ้าง</t>
  </si>
  <si>
    <t xml:space="preserve"> - ค่าครองชีพชั่วคราว</t>
  </si>
  <si>
    <t xml:space="preserve"> - เงินช่วยเหลือพยาบาล</t>
  </si>
  <si>
    <t xml:space="preserve"> - เงินช่วยเหลือบุตร</t>
  </si>
  <si>
    <t xml:space="preserve"> - เงินค่าเช่าบ้าน</t>
  </si>
  <si>
    <t xml:space="preserve">  - เงินสมทบกองทุนประกันสังคม</t>
  </si>
  <si>
    <t xml:space="preserve"> - เงินสมทบกองทุนบำเหน็จบำนาญฯ</t>
  </si>
  <si>
    <t xml:space="preserve"> - ค่าจ้างเหมาบริการ เช่น ค่าล้างฟิล์ม ค้าจ้างเหมาสูบน้ำฯ</t>
  </si>
  <si>
    <t xml:space="preserve">งบกลาง </t>
  </si>
  <si>
    <t>ค่าสาธารณูปโภค</t>
  </si>
  <si>
    <t>อุดหนุน</t>
  </si>
  <si>
    <t>ครุภัณฑ์</t>
  </si>
  <si>
    <t>ที่ดินและสิ่งก่อสร้าง</t>
  </si>
  <si>
    <t>รายจ่ายอื่น</t>
  </si>
  <si>
    <t>เบิกจริง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</si>
  <si>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</si>
  <si>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</si>
  <si>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</si>
  <si>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</si>
  <si>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</si>
  <si>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</si>
  <si>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 xml:space="preserve">เมษายน </t>
  </si>
  <si>
    <t>พฤษภาคม</t>
  </si>
  <si>
    <t>มิถุนายน</t>
  </si>
  <si>
    <t>กรกฎาคม</t>
  </si>
  <si>
    <t>สิงหาคม</t>
  </si>
  <si>
    <t>กันยายน</t>
  </si>
  <si>
    <t>จ่ายขาดเงินสะสม</t>
  </si>
  <si>
    <t>ค่าวัสดุการศึกษา</t>
  </si>
  <si>
    <t>210100</t>
  </si>
  <si>
    <t xml:space="preserve"> - เงินค่าตอบแทนประจำตำแหน่งนายก/รองนายก</t>
  </si>
  <si>
    <t>210200</t>
  </si>
  <si>
    <t>210300</t>
  </si>
  <si>
    <t xml:space="preserve"> - เงินค่าตอบแทนพิเศษนายก/รองนายก</t>
  </si>
  <si>
    <t xml:space="preserve"> - เงินค่าตอบแทนเลขานุการนายกองค์การบริหารส่วนตำบลฯ</t>
  </si>
  <si>
    <t>210400</t>
  </si>
  <si>
    <t xml:space="preserve"> - เงินค่าตอบแทนสมาชิกสภาฯ</t>
  </si>
  <si>
    <t>210600</t>
  </si>
  <si>
    <t>เงินเดือน (ฝ่ายการเมือง)</t>
  </si>
  <si>
    <t>520000</t>
  </si>
  <si>
    <t>เงินเดือน (ฝ่ายประจำ)</t>
  </si>
  <si>
    <t>522000</t>
  </si>
  <si>
    <t>220100</t>
  </si>
  <si>
    <t>220200</t>
  </si>
  <si>
    <t>220300</t>
  </si>
  <si>
    <t>220600</t>
  </si>
  <si>
    <t>220700</t>
  </si>
  <si>
    <t>531000</t>
  </si>
  <si>
    <t>310100</t>
  </si>
  <si>
    <t xml:space="preserve"> - เงินประโยชน์ตอบแทนอื่นสำหรับพนักงานส่วนท้องถิ่นเป็นกรณีพิเศษ</t>
  </si>
  <si>
    <t>310300</t>
  </si>
  <si>
    <t>310400</t>
  </si>
  <si>
    <t>310500</t>
  </si>
  <si>
    <t>310600</t>
  </si>
  <si>
    <t>532000</t>
  </si>
  <si>
    <t>320100</t>
  </si>
  <si>
    <t xml:space="preserve"> - ค่าโฆษณาและเผยแพร่ประชาสัมพันธ์ทางวิทยุ หนังสือพิมพ์ฯ</t>
  </si>
  <si>
    <t xml:space="preserve"> - ค่ารังวัดที่ดินและที่สาธารณะที่อยู่ในความรับผิดชอบของ อบต.</t>
  </si>
  <si>
    <t xml:space="preserve"> - ค่ารับรองบุคคลหรือคณะบุคคล</t>
  </si>
  <si>
    <t xml:space="preserve"> - ค่าเลี้ยงรับรองในการประชุมสภาฯ  อบต.กระโทก</t>
  </si>
  <si>
    <t xml:space="preserve"> - ค่าใช้จ่ายทางรัฐพิธีต่าง ๆ</t>
  </si>
  <si>
    <t>320300</t>
  </si>
  <si>
    <t xml:space="preserve"> - ค่าใช้จ่ายตามโครงการเพิ่มพูนความรู้ให้กับพนักงานด้านคุณธรรม จริยธรรมฯ</t>
  </si>
  <si>
    <t xml:space="preserve"> -  ค่าใช้จ่ายในการเดินทางไปราชการ</t>
  </si>
  <si>
    <t xml:space="preserve"> -  ค่าพวงมาลา  ช่อดอกไม้ กระเช้าดอกไม้และพวงมาลัย</t>
  </si>
  <si>
    <t xml:space="preserve"> -  ค่าใช้จ่ายในการเลือกตั้งทั่วไป</t>
  </si>
  <si>
    <t>320400</t>
  </si>
  <si>
    <t xml:space="preserve"> - ค่าบำรุงรักษาและซ่อมแซม</t>
  </si>
  <si>
    <t>533000</t>
  </si>
  <si>
    <t>330100</t>
  </si>
  <si>
    <t>330300</t>
  </si>
  <si>
    <t>330700</t>
  </si>
  <si>
    <t>330800</t>
  </si>
  <si>
    <t>331100</t>
  </si>
  <si>
    <t>331400</t>
  </si>
  <si>
    <t>534000</t>
  </si>
  <si>
    <t>340100</t>
  </si>
  <si>
    <t>340200</t>
  </si>
  <si>
    <t>340300</t>
  </si>
  <si>
    <t>340400</t>
  </si>
  <si>
    <t>461000</t>
  </si>
  <si>
    <t>610200</t>
  </si>
  <si>
    <t>610400</t>
  </si>
  <si>
    <t>541000</t>
  </si>
  <si>
    <t>410100</t>
  </si>
  <si>
    <t xml:space="preserve"> - ค่าจ้างเหมาปฏิบัติหน้าที่รักษาความปลอดภัยสถานที่ราชการ</t>
  </si>
  <si>
    <t xml:space="preserve"> - ค่าตอบแทนสำหรับผู้ปฏิบัติงานหรือช่วยเหลือผู้ประสบสาธารณภัย อปพร.</t>
  </si>
  <si>
    <t>331600</t>
  </si>
  <si>
    <t>410600</t>
  </si>
  <si>
    <t xml:space="preserve"> -  ค่าใช้จ่ายตามโครงการป้องกันการแพร่ระบาดโรคติดต่อที่มียุงฯ</t>
  </si>
  <si>
    <t xml:space="preserve"> -  ค่าใช้จ่ายตามโครงการป้องกันโรคพิษสุนัขบ้า</t>
  </si>
  <si>
    <t>331200</t>
  </si>
  <si>
    <t xml:space="preserve">       -  อุดหนุนศูย์สาธารณสุขมูลฐานประจำหมู่บ้าน</t>
  </si>
  <si>
    <t xml:space="preserve"> -  ค่าใช้จ่ายตามโครงการมอบผ้าห่มกันหนาวให้กับผู้สูงอายุ ผู้พิการฯ</t>
  </si>
  <si>
    <t xml:space="preserve"> -  ค่าใช้จ่ายตามโครงการจ้างนักเรียน/นักศึกษาปฏิบัติงานช่วงปิดภาคเรียน</t>
  </si>
  <si>
    <t>542000</t>
  </si>
  <si>
    <t xml:space="preserve"> - ค่าจ้างเหมาจัดเก็บขยะมูลฝอย</t>
  </si>
  <si>
    <t xml:space="preserve"> -  ค่าใช้จ่ายตามโครงการดำเนินการป้องกันและลดอุบัติเหตุทางถนนฯสงกรานต์</t>
  </si>
  <si>
    <t xml:space="preserve"> -  ค่าใช้จ่ายตามโครงการดำเนินการป้องกันและลดอุบัติเหตุทางถนนฯปีใหม่</t>
  </si>
  <si>
    <t>331000</t>
  </si>
  <si>
    <t>320200</t>
  </si>
  <si>
    <t xml:space="preserve">    - ค่าใช้จ่ายในการจัดทำแผนที่ภาษีและทะเบียนฯ</t>
  </si>
  <si>
    <t xml:space="preserve"> - ค่าบำรุงรักษาและซ่อมแซม เช่นเครื่องคอมพิวเตอร์ฯ</t>
  </si>
  <si>
    <t>330200</t>
  </si>
  <si>
    <t>งบประมาณทั้งสิ้น</t>
  </si>
  <si>
    <t xml:space="preserve"> - ค่าจ้างเหมาบริการทำอย่างใดอย่างหนึ่ง เช่น ค่าเย็บหนังสือฯ</t>
  </si>
  <si>
    <t>330400</t>
  </si>
  <si>
    <t>510000</t>
  </si>
  <si>
    <t>110300</t>
  </si>
  <si>
    <t>110900</t>
  </si>
  <si>
    <t>111000</t>
  </si>
  <si>
    <t>111100</t>
  </si>
  <si>
    <t>120100</t>
  </si>
  <si>
    <t>รายจ่ายค้างจ่าย ประจำปีงบประมาณ 2556</t>
  </si>
  <si>
    <t xml:space="preserve"> - ค่าใช้จ่ายในการเลือกตั้ง</t>
  </si>
  <si>
    <t>งานสาธารณสุข 00221</t>
  </si>
  <si>
    <t>สังคมสงเคราะห์00232</t>
  </si>
  <si>
    <t>เข้มแข็งของชุมชน00252</t>
  </si>
  <si>
    <t>เคหะและชุมชน00241</t>
  </si>
  <si>
    <t>แผนการศึกษา00211</t>
  </si>
  <si>
    <t>ก่อนวัยเรียน00212</t>
  </si>
  <si>
    <t>00211</t>
  </si>
  <si>
    <t>นันทนาการ00263</t>
  </si>
  <si>
    <t>โครงการจัดสวัสดิการเบี้ยความพิการ</t>
  </si>
  <si>
    <t>โครงการจัดสวัสดิการสำหรับผู้สูงอายุ</t>
  </si>
  <si>
    <t xml:space="preserve">    -   ค่าใช้จ่ายการคัดเลือกพนักงานและลูกจ้างของอปท.ฯ</t>
  </si>
  <si>
    <t>330600</t>
  </si>
  <si>
    <t>330900</t>
  </si>
  <si>
    <t>2  หมวดค่าตอบแทนใช้สอยและวัสดุ</t>
  </si>
  <si>
    <t>2.2  ค่าใช้สอย</t>
  </si>
  <si>
    <t>2.1 ค่าตอบแทน</t>
  </si>
  <si>
    <t>2.3   ค่าวัสดุ</t>
  </si>
  <si>
    <t>2.4  หมวดค่าสาธารณูปโภค</t>
  </si>
  <si>
    <t xml:space="preserve">        2.4.1  ประเภท  ค่าไฟฟ้า</t>
  </si>
  <si>
    <t xml:space="preserve">        2.4.2  ประเภท  ค่าน้ำประปา</t>
  </si>
  <si>
    <t xml:space="preserve">        2.4.3  ประเภท  ค่าโทรศัพท์</t>
  </si>
  <si>
    <t xml:space="preserve">        2.4.4  ประเภท  ค่าไปรษณีย์  ค่าโทรเลข  ค่าธนาณัติ  ค่าซื้อ</t>
  </si>
  <si>
    <t xml:space="preserve">        2.4.5  ประเภทค่าบริการโทรคมนาคมค่าเช่าอินเตอร์เน็ตตำบล</t>
  </si>
  <si>
    <t>3.1 หมวดครุภัณฑ์ที่ดินและสิ่งก่อสร้าง</t>
  </si>
  <si>
    <t>4.  เงินอุดหนุน</t>
  </si>
  <si>
    <t>560000</t>
  </si>
  <si>
    <t xml:space="preserve">       -  อุดหนุนโครงการพัฒนาคุณภาพการบริการ</t>
  </si>
  <si>
    <t>ระงับอัคคีภัยฯ00123</t>
  </si>
  <si>
    <t>งานสาธารณสุขอื่น 00223</t>
  </si>
  <si>
    <t xml:space="preserve"> - ค่าใช้จ่ายโครงการ อบต.กระโทกสะอาด น่าอยู่ น่ามอง น่าทำงาน</t>
  </si>
  <si>
    <t>3.1.1 ค่าครุภัณฑ์</t>
  </si>
  <si>
    <t>1.ประเภทครุภัณฑ์สำนักงาน</t>
  </si>
  <si>
    <t>กำจัดขยะมูลฝอยฯ00244</t>
  </si>
  <si>
    <t xml:space="preserve">       -  อุดหนุนโครงการขับเคลื่อนหมู่บ้าน/ชุมชนเศรษฐกิจพอเพียง</t>
  </si>
  <si>
    <t>ส่งเสริมเกษตร00321</t>
  </si>
  <si>
    <t xml:space="preserve"> - ค่าจ้างเหมาบริการกลบขยะมูลฝอย</t>
  </si>
  <si>
    <t xml:space="preserve"> - เงินประจำตำแหน่งฯ</t>
  </si>
  <si>
    <t>2.1  ค่าตอบแทน</t>
  </si>
  <si>
    <t>2.2 ค่าใช้สอย</t>
  </si>
  <si>
    <r>
      <t>2.2.3  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ค่าบำรุงรักษาและซ่อมแซม</t>
    </r>
  </si>
  <si>
    <t>2.3  ค่าวัสดุ</t>
  </si>
  <si>
    <r>
      <t>2.3.1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ค่าวัสดุสำนักงาน</t>
    </r>
  </si>
  <si>
    <r>
      <t>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เงินประจำตำแหน่งฯ</t>
    </r>
  </si>
  <si>
    <r>
      <t xml:space="preserve">2.2.1  </t>
    </r>
    <r>
      <rPr>
        <sz val="12"/>
        <rFont val="Angsana New"/>
        <family val="1"/>
      </rPr>
      <t>รายจ่ายเพื่อให้ได้มาซึ่งบริการ</t>
    </r>
  </si>
  <si>
    <r>
      <t xml:space="preserve">2.2.2  </t>
    </r>
    <r>
      <rPr>
        <sz val="12"/>
        <rFont val="Angsana New"/>
        <family val="1"/>
      </rPr>
      <t>รายจ่ายเกี่ยวเนื่องกับการปฏิบัติราชการฯ</t>
    </r>
  </si>
  <si>
    <r>
      <t xml:space="preserve">2.3.2  </t>
    </r>
    <r>
      <rPr>
        <sz val="12"/>
        <rFont val="Angsana New"/>
        <family val="1"/>
      </rPr>
      <t>ค่าวัสดุคอมพิวเตอร์</t>
    </r>
  </si>
  <si>
    <t>2.  หมวดค่าตอบแทนใช้สอยและวัสดุ</t>
  </si>
  <si>
    <t>2.1  หมวด  ค่าตอบแทน</t>
  </si>
  <si>
    <t>2.3  หมวด ค่าวัสดุ</t>
  </si>
  <si>
    <r>
      <t xml:space="preserve">2.3.1  ประเภท  </t>
    </r>
    <r>
      <rPr>
        <u val="single"/>
        <sz val="12"/>
        <rFont val="Angsana New"/>
        <family val="1"/>
      </rPr>
      <t>ค่าวัสดุสำนักงาน</t>
    </r>
  </si>
  <si>
    <r>
      <t xml:space="preserve">2.3.2  ประเภท  </t>
    </r>
    <r>
      <rPr>
        <u val="single"/>
        <sz val="12"/>
        <rFont val="Angsana New"/>
        <family val="1"/>
      </rPr>
      <t>วัสดุไฟฟ้าและวิทยุ</t>
    </r>
  </si>
  <si>
    <t>2.3.3  ประเภท  วัสดุคอมพิวเตอร์</t>
  </si>
  <si>
    <t>2.3.4  ประเภท  วัสดุก่อสร้าง</t>
  </si>
  <si>
    <t>3.  รายจ่ายเพื่อการลงทุน</t>
  </si>
  <si>
    <t>3.1  หมวด ค่าครุภัณฑ์ที่ดินและสิ่งก่อสร้าง</t>
  </si>
  <si>
    <t>3.1.1 หมวดครุภัณฑ์</t>
  </si>
  <si>
    <t>3.2  หมวดค่าที่ดินและสิ่งก่อสร้าง</t>
  </si>
  <si>
    <t>งบประมาณรายจ่าย  ประจำปีงบประมาณ  2557 ตั้งแต่วันที่ 1  ตุลาคม  2556 ถึงวันที่  30  กันยายน  2557</t>
  </si>
  <si>
    <r>
      <t>1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ายจ่ายเพื่อให้ได้มาซึ่งบริการ</t>
    </r>
  </si>
  <si>
    <r>
      <t>3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ายจ่ายเพื่อบำรุงรักษาหรือซ่อมแซมทรัพย์สิน</t>
    </r>
  </si>
  <si>
    <t>1  ประเภท  วัสดุสำนักงาน</t>
  </si>
  <si>
    <t>2  ประเภท วัสดุงานบ้านงานครัว</t>
  </si>
  <si>
    <t>3  หมวดเงินอุดหนุน</t>
  </si>
  <si>
    <r>
      <t>3.1  ประเภท</t>
    </r>
    <r>
      <rPr>
        <sz val="12"/>
        <rFont val="Angsana New"/>
        <family val="1"/>
      </rPr>
      <t xml:space="preserve">  เงินอุดหนุนส่วนราชการ</t>
    </r>
  </si>
  <si>
    <t>4.  รายจ่ายเพื่อการลงทุน</t>
  </si>
  <si>
    <r>
      <t xml:space="preserve">     4</t>
    </r>
    <r>
      <rPr>
        <b/>
        <u val="single"/>
        <sz val="12"/>
        <rFont val="Angsana New"/>
        <family val="1"/>
      </rPr>
      <t>.1  หมวดครุภัณฑ์ที่ดินและสิ่งก่อสร้าง</t>
    </r>
  </si>
  <si>
    <r>
      <t>3  ประเภท</t>
    </r>
    <r>
      <rPr>
        <sz val="12"/>
        <rFont val="Angsana New"/>
        <family val="1"/>
      </rPr>
      <t xml:space="preserve">  ค่าเช่าบ้าน</t>
    </r>
  </si>
  <si>
    <t>รายจ่ายอื่น (ค่าจ้างที่ปรึกษาซึ่งไม่เกี่ยวกับครุภัณฑ์หรือสิ่งก่อสร้างฯ)</t>
  </si>
  <si>
    <t>4.1  ประเภท  เงินอุดหนุนส่วนราชการ</t>
  </si>
  <si>
    <t>4.2  ประเภท  เงินอุดหนุนกิจการที่เป็นสาธารณประโยชน์</t>
  </si>
  <si>
    <r>
      <t>2  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เงินช่วยเหลือการศึกษาบุตร</t>
    </r>
  </si>
  <si>
    <t>5  ประเภท  ค่าอาหารเสริมนม</t>
  </si>
  <si>
    <r>
      <t xml:space="preserve"> </t>
    </r>
    <r>
      <rPr>
        <sz val="12"/>
        <rFont val="Angsana New"/>
        <family val="1"/>
      </rPr>
      <t>-โครงการจัดกิจกรรมวันสำคัญของชาติ</t>
    </r>
  </si>
  <si>
    <t xml:space="preserve"> - โครงการจัดกิจกรรมวันสำคัญทางพุทธศาสนา</t>
  </si>
  <si>
    <t xml:space="preserve"> - โครงการผลผลิตสื่อการเรียนการสอนศูนย์พัฒนาเด็กเล็กฯ</t>
  </si>
  <si>
    <t xml:space="preserve"> - โครงการหนูน้อยฟันสวยและสุขภาพดี</t>
  </si>
  <si>
    <t xml:space="preserve"> - โครงการหนูน้อยเรียนรู้เศรษฐกิจพอเพียง</t>
  </si>
  <si>
    <r>
      <t xml:space="preserve">2.1.1  </t>
    </r>
    <r>
      <rPr>
        <sz val="12"/>
        <rFont val="Angsana New"/>
        <family val="1"/>
      </rPr>
      <t>เงินค่าเช่าบ้าน</t>
    </r>
  </si>
  <si>
    <r>
      <t xml:space="preserve">2.1.2  </t>
    </r>
    <r>
      <rPr>
        <sz val="12"/>
        <rFont val="Angsana New"/>
        <family val="1"/>
      </rPr>
      <t>เงินช่วยเหลือการศึกษาบุตร</t>
    </r>
  </si>
  <si>
    <r>
      <t xml:space="preserve">2.1.3 </t>
    </r>
    <r>
      <rPr>
        <sz val="12"/>
        <rFont val="Angsana New"/>
        <family val="1"/>
      </rPr>
      <t xml:space="preserve"> เงินช่วยเหลือค่ารักษาพยาบาล</t>
    </r>
  </si>
  <si>
    <t xml:space="preserve"> - ค่าจ้างเหมาบริการทำอย่างใดอย่างหนึ่งที่อยู่ในความรับผิดชอบของ อบต.</t>
  </si>
  <si>
    <t xml:space="preserve">       -  อุดหนุนกองทุนผู้สูงอายุตำบลกระโทก</t>
  </si>
  <si>
    <t>ศาสนาและวัฒนฯ</t>
  </si>
  <si>
    <t xml:space="preserve"> - โครงการจัดงานประเพณีวันขึ้นปีใหม่</t>
  </si>
  <si>
    <t xml:space="preserve"> - โครงการจัดงานวันลอยกระทง</t>
  </si>
  <si>
    <r>
      <t xml:space="preserve">     </t>
    </r>
    <r>
      <rPr>
        <b/>
        <u val="single"/>
        <sz val="12"/>
        <rFont val="Angsana New"/>
        <family val="1"/>
      </rPr>
      <t>ประเภท  ค่าที่ดินและสิ่งก่อสร้าง</t>
    </r>
  </si>
  <si>
    <t xml:space="preserve">เงินอุดหนุนทั่วไปมีวัตถุประสงค์ </t>
  </si>
  <si>
    <t>3.ประเภทครุภัณฑ์ไฟฟ้าและวิทยุ</t>
  </si>
  <si>
    <t>โครงการบำบัดฟื้นฟูยาเสพติดฯ</t>
  </si>
  <si>
    <t>โครงการผู้ที่ผ่านการบำบัดพื้นฟูยาเสพติดฯ</t>
  </si>
  <si>
    <t xml:space="preserve">    - โครงการจัดทำป้ายประชาสัมพันธ์การจัดเก็บภาษี</t>
  </si>
  <si>
    <t>งานการรักษาความสงบภายใน</t>
  </si>
  <si>
    <t xml:space="preserve"> -  ค่าใช้จ่ายตามโครงการดำเนินการป้องกันและลดอุบัติเหตุวันลอยกระทง</t>
  </si>
  <si>
    <t xml:space="preserve"> - โครงการป้องกันและลดอุบัติเหตุทางถนนในช่วงเทศกาลออกพรรษา</t>
  </si>
  <si>
    <t xml:space="preserve"> - โครงการฝึกอบรมช่วยเหลือสาธารณภัยเบื้องต้น</t>
  </si>
  <si>
    <t>งบประมาณรายจ่าย  ประจำปีงบประมาณ  2559 ตั้งแต่วันที่ 1  ตุลาคม  2558 ถึงวันที่  30  กันยายน  2559</t>
  </si>
  <si>
    <r>
      <t xml:space="preserve">1  ปรเภท </t>
    </r>
    <r>
      <rPr>
        <b/>
        <sz val="12"/>
        <rFont val="Angsana New"/>
        <family val="1"/>
      </rPr>
      <t xml:space="preserve"> </t>
    </r>
    <r>
      <rPr>
        <sz val="12"/>
        <rFont val="Angsana New"/>
        <family val="1"/>
      </rPr>
      <t>ค่าตอบแทนการปฎิบัติงานนอกเวลาราชการ</t>
    </r>
  </si>
  <si>
    <r>
      <t xml:space="preserve">     </t>
    </r>
    <r>
      <rPr>
        <b/>
        <u val="single"/>
        <sz val="12"/>
        <rFont val="Angsana New"/>
        <family val="1"/>
      </rPr>
      <t>ประเภท  ค่าครุภัณฑ์สำนักงาน</t>
    </r>
  </si>
  <si>
    <t xml:space="preserve"> - โครงการแข่งขันกีฬานักเรียนศูนย์พัฒนาเด็กเล็ก อบต.กระโทก</t>
  </si>
  <si>
    <t xml:space="preserve"> - โครงการสนับสนุนค่าใช้จ่ายการบริหารสถานศึกษา(อาหารกลางวัน)</t>
  </si>
  <si>
    <t xml:space="preserve"> - โครงการสนับสนุนค่าใช้จ่ายการบริหารสถานศึกษา(ค่าจัดการเรียนการสอน)</t>
  </si>
  <si>
    <t>2.  ประเภท  ครุภัณฑ์คอมพิวเตอร์</t>
  </si>
  <si>
    <t xml:space="preserve"> - โครงการอบรมเยาวชนต้านยาเสพติด</t>
  </si>
  <si>
    <t xml:space="preserve"> - โครงการส่งเสริมและอนุรักษ์ดนตรีพื้นบ้าน</t>
  </si>
  <si>
    <t>วิชาการวางแผนฯ</t>
  </si>
  <si>
    <r>
      <t>2  ประเภท</t>
    </r>
    <r>
      <rPr>
        <b/>
        <sz val="12"/>
        <rFont val="Angsana New"/>
        <family val="1"/>
      </rPr>
      <t xml:space="preserve">  </t>
    </r>
    <r>
      <rPr>
        <sz val="10"/>
        <rFont val="Angsana New"/>
        <family val="1"/>
      </rPr>
      <t>รายจ่ายเกี่ยวเนื่องกับการปฏิบัติราชการฯที่ไม่เข้าลักษณะฯ</t>
    </r>
  </si>
  <si>
    <t xml:space="preserve"> - เงินสมทบกองทุนบำเหน็จบำนาญข้าราชการส่วนท้องถิ่น (กบท.)</t>
  </si>
  <si>
    <t>รายจ่ายค้างจ่าย ประจำปีงบประมาณ 2559</t>
  </si>
  <si>
    <t xml:space="preserve"> - ค่าจ้างเหมาเก็บเงินค่าบริการถังขยะในเขตพื้นที่ อบต.กระโทก</t>
  </si>
  <si>
    <t xml:space="preserve">งบประมาณรายจ่าย  ประจำปีงบประมาณ  2559  ตั้งแต่วันที่ 1  ตุลาคม  2558  ถึงวันที่  30  กันยายน  2559 </t>
  </si>
  <si>
    <t>ค่าจัดการเรียนการสอน</t>
  </si>
  <si>
    <t>เงินเดือนครูศูนย์เด็กฯ</t>
  </si>
  <si>
    <t>ค่าตอบแทนครูศูนย์เด็กฯ</t>
  </si>
  <si>
    <t>ค่าเงินประกันสังคม</t>
  </si>
  <si>
    <t>เงินเพิ่มพนักงานจ้าง</t>
  </si>
  <si>
    <t xml:space="preserve"> - โครงการรณรงค์ลดการใช้โฟม</t>
  </si>
  <si>
    <t xml:space="preserve"> - โครงการสร้างเสริมสุขภาพผู้สูงวัยธรรมชาติบำบัดเพื่อชีวิตที่เป็นสุข</t>
  </si>
  <si>
    <t>งานสวัสดิการสังคมและฯ</t>
  </si>
  <si>
    <t xml:space="preserve"> - โครงการปรับปรุงงานสริมผิว Asphaltic concrete ม.5</t>
  </si>
  <si>
    <t xml:space="preserve"> -  โครงการฝึกอรมเสริมสร้างศักยภาพขงอาสาสมัครสาธารณสุข อสม.</t>
  </si>
  <si>
    <t>220101</t>
  </si>
  <si>
    <t xml:space="preserve"> - เงินเพิ่มต่าง ๆ ของพนักงาน</t>
  </si>
  <si>
    <t xml:space="preserve"> - ค่าใช้จ่ายตามโครงการจัดงานวันท้องถิ่นไทย</t>
  </si>
  <si>
    <t xml:space="preserve"> - โครงการฝึกอบรมและศึกษาดูงานเพิ่มศักยภาพการบริหารงานของ อบต.ให้แก่ผู้บรหาร สมาชิกฯ</t>
  </si>
  <si>
    <r>
      <t>2.1.1  ประเภท</t>
    </r>
    <r>
      <rPr>
        <b/>
        <sz val="12"/>
        <rFont val="Angsana New"/>
        <family val="1"/>
      </rPr>
      <t xml:space="preserve">  ค่าตอบแทนผู้ปฏิบัติราชการอันเป็นประโยชน์</t>
    </r>
  </si>
  <si>
    <r>
      <t>2.1.2  ประเภท</t>
    </r>
    <r>
      <rPr>
        <b/>
        <sz val="12"/>
        <rFont val="Angsana New"/>
        <family val="1"/>
      </rPr>
      <t xml:space="preserve">  ค่าตอบแทนคณะกรรมการตรวจการจ้างฯ</t>
    </r>
  </si>
  <si>
    <r>
      <t>2.1.3  ประเภท</t>
    </r>
    <r>
      <rPr>
        <b/>
        <sz val="12"/>
        <rFont val="Angsana New"/>
        <family val="1"/>
      </rPr>
      <t xml:space="preserve">  ค่าตอบแทนการปฏิบัติงานนอกเวลาราชการ</t>
    </r>
  </si>
  <si>
    <r>
      <t>2.1.4  ประเภท</t>
    </r>
    <r>
      <rPr>
        <b/>
        <sz val="12"/>
        <rFont val="Angsana New"/>
        <family val="1"/>
      </rPr>
      <t xml:space="preserve">  ค่าเช่าบ้าน</t>
    </r>
  </si>
  <si>
    <r>
      <t>2.1.5  ประเภท</t>
    </r>
    <r>
      <rPr>
        <b/>
        <sz val="12"/>
        <rFont val="Angsana New"/>
        <family val="1"/>
      </rPr>
      <t xml:space="preserve">  เงินช่วยเหลือการศึกษาบุตร</t>
    </r>
  </si>
  <si>
    <r>
      <t>2.1.6  ประเภท</t>
    </r>
    <r>
      <rPr>
        <b/>
        <sz val="12"/>
        <rFont val="Angsana New"/>
        <family val="1"/>
      </rPr>
      <t xml:space="preserve">  เงินช่วยเหลือค่ารักษาพยาบาล</t>
    </r>
  </si>
  <si>
    <r>
      <t>2.2.1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ายจ่ายเพื่อให้ได้มาซึ่งบริการ</t>
    </r>
  </si>
  <si>
    <r>
      <t xml:space="preserve"> - </t>
    </r>
    <r>
      <rPr>
        <sz val="12"/>
        <rFont val="Angsana New"/>
        <family val="1"/>
      </rPr>
      <t>ค่าจ้างเหมาบริการ เช่นค่าเย็บหนังสือหรือเข้าปกหนังสือ ค่าเติน้ำยาฯ</t>
    </r>
  </si>
  <si>
    <r>
      <t>2.2.2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ายจ่ายเกี่ยวกับการรับรองและพิธีการ</t>
    </r>
  </si>
  <si>
    <r>
      <t>2.2.3  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รายจ่ายเกี่ยวเนื่องกับการปฏิบัติราชการที่ไม่เข้าฯ</t>
    </r>
  </si>
  <si>
    <r>
      <t>2.2.4  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ค่าบำรุงรักษาและซ่อมแซม</t>
    </r>
  </si>
  <si>
    <r>
      <t>1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 xml:space="preserve">ค่าวัสดุสำนักงาน </t>
    </r>
  </si>
  <si>
    <r>
      <t>2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 xml:space="preserve">ค่าวัสดุไฟฟ้าและวิทยุ </t>
    </r>
  </si>
  <si>
    <r>
      <t>3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>ค่าวัสดุงานบ้านงานครัว</t>
    </r>
  </si>
  <si>
    <r>
      <t>4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>ค่าวัสดุก่อสร้าง</t>
    </r>
  </si>
  <si>
    <r>
      <t>5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>ค่าวัสดุพาหนะและขนส่ง</t>
    </r>
  </si>
  <si>
    <r>
      <t xml:space="preserve">6  ประเภท 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ค่าวัสดุเชื้อเพลิงและหล่อลื่น</t>
    </r>
  </si>
  <si>
    <r>
      <t xml:space="preserve">7  ประเภท 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ค่าวัสดุวิทยาศาสตร์และการแพทย์</t>
    </r>
  </si>
  <si>
    <r>
      <t>8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>ค่าวัสดุโฆษณาและเผยแพร่</t>
    </r>
  </si>
  <si>
    <r>
      <t>9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>ค่าวัสดุคอมพิวเตอร์</t>
    </r>
  </si>
  <si>
    <r>
      <t xml:space="preserve">10  ประเภท 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ค่าวัสดุการเกษตร</t>
    </r>
  </si>
  <si>
    <r>
      <t>11  ประเภท</t>
    </r>
    <r>
      <rPr>
        <b/>
        <sz val="12"/>
        <rFont val="Angsana New"/>
        <family val="1"/>
      </rPr>
      <t xml:space="preserve">   </t>
    </r>
    <r>
      <rPr>
        <sz val="12"/>
        <rFont val="Angsana New"/>
        <family val="1"/>
      </rPr>
      <t>ค่าวัสดุเครื่องแต่งกาย (ฉีดพ่นสารเคมี)</t>
    </r>
  </si>
  <si>
    <r>
      <t xml:space="preserve">( 3 ) </t>
    </r>
    <r>
      <rPr>
        <b/>
        <u val="single"/>
        <sz val="12"/>
        <rFont val="Angsana New"/>
        <family val="1"/>
      </rPr>
      <t>รายจ่ายเพื่อการลงทุน</t>
    </r>
  </si>
  <si>
    <t>2.ประเภทครุภัณฑ์คอมพิวเตอร์</t>
  </si>
  <si>
    <t xml:space="preserve">     -  ค่าจัดซื้อเครื่องคอมพิวเตอร์ สำหรับงานประมวลผลแบบที่ 2</t>
  </si>
  <si>
    <t xml:space="preserve">     -  ค่าจัดซื้อเครื่องพิมพ์ชนิดเลเซอร์/ชนิด LED ขาวดำ</t>
  </si>
  <si>
    <t xml:space="preserve">     -  ค่าจัดซื้อเครื่องพิมพ์แบบฉีดหมึก (inkjet printer)</t>
  </si>
  <si>
    <t xml:space="preserve">       -  อุดหนุนโครงการจัดงานรัฐพิธีต่าง ๆ ประจำปี พ.ศ. 2560</t>
  </si>
  <si>
    <r>
      <t xml:space="preserve">2  </t>
    </r>
    <r>
      <rPr>
        <sz val="12"/>
        <rFont val="Angsana New"/>
        <family val="1"/>
      </rPr>
      <t>ค่าตอบแทนการปฎิบัติงานนอกเวลาราชการ</t>
    </r>
  </si>
  <si>
    <r>
      <t xml:space="preserve">3  </t>
    </r>
    <r>
      <rPr>
        <sz val="12"/>
        <rFont val="Angsana New"/>
        <family val="1"/>
      </rPr>
      <t>เงินค่าเช่าบ้าน</t>
    </r>
  </si>
  <si>
    <r>
      <t xml:space="preserve">4  </t>
    </r>
    <r>
      <rPr>
        <sz val="12"/>
        <rFont val="Angsana New"/>
        <family val="1"/>
      </rPr>
      <t>เงินช่วยเหลือการศึกษาบุตร</t>
    </r>
  </si>
  <si>
    <r>
      <t xml:space="preserve">1  </t>
    </r>
    <r>
      <rPr>
        <sz val="12"/>
        <rFont val="Angsana New"/>
        <family val="1"/>
      </rPr>
      <t>ค่าตอบแทนคณะกรรมการตรวจการจ้าง</t>
    </r>
  </si>
  <si>
    <t xml:space="preserve">     -  ค่าจัดซื้อเครื่องปรับอากาศ ชนิดตั้งพื้นหรือชนิดแขวน</t>
  </si>
  <si>
    <t xml:space="preserve"> - โครงการจัดงานวันเด็กแห่งชาติ  </t>
  </si>
  <si>
    <t xml:space="preserve"> - โครงการเผยแพร่ผลงานทางวิชาการและศิลปะและปัจฉิมฯ</t>
  </si>
  <si>
    <t xml:space="preserve">      -  ค่าจัดซื้อโต๊ะคอมพิวเตอร์ 2ลิ้นชัก จำนวน 1 ตัว</t>
  </si>
  <si>
    <t xml:space="preserve">      -  ค่าจัดซื้อพัดลมติดผนัง ขนาด 16 นิ้ว</t>
  </si>
  <si>
    <t xml:space="preserve">      -  ค่าจัดซื้อโทรทัศน์ แอลอีดี (LED TV) ขนาด 32 นิ้ว</t>
  </si>
  <si>
    <t xml:space="preserve">      -  โครงการปรับภูมิทัศน์ภายนอกศูนย์พัฒนาเด็กฯ</t>
  </si>
  <si>
    <t xml:space="preserve"> -  โครงการฝึกอบรมอาชีพให้กับผู้สูงอายุ ผู้พิการ และผู้ด้อยโอกาสฯ</t>
  </si>
  <si>
    <t xml:space="preserve"> - โครงการขยายเขตประปาส่วนภูมิภาค (ม.2) บ้านหนองคล้า</t>
  </si>
  <si>
    <t xml:space="preserve"> - โครงการขยายเขตประปาส่วนภูมิภาค (ม.4) ถนนชลประทานฯ</t>
  </si>
  <si>
    <t xml:space="preserve"> - โครงการขยายเขตประปาส่วนภูมิภาค (ม.11)  ซอยประชาอาสาฯ</t>
  </si>
  <si>
    <t xml:space="preserve"> - โครงการขยายเขตประปาส่วนภูมิภาค (ม.11)  ซอย นายหลอด</t>
  </si>
  <si>
    <t xml:space="preserve"> - โครงการขยายเขตประปาส่วนภูมิภาค (ม.11)  ซอยนางยวน</t>
  </si>
  <si>
    <t xml:space="preserve"> - โครงการขยายเขตประปาส่วนภูมิภาค (ม.13)  บ้านนายเปิ่น</t>
  </si>
  <si>
    <t xml:space="preserve"> - โครงการจัดหาหนังสือพิมพ์/วารสารให้กับที่อ่านฯ</t>
  </si>
  <si>
    <t xml:space="preserve"> - โครงการฝึกอบรมผู้แทนชุมชนในการจัดทำแผนพัฒนาท้องถิ่น</t>
  </si>
  <si>
    <t xml:space="preserve"> - โครงการส่งเสริมอาชีพใหกับกลุ่มเกษตรกรหลังฤดูกาลเก็บเกี่ยวฯ</t>
  </si>
  <si>
    <t xml:space="preserve"> - โครงการ อบต.เคลื่อนที่เวทีประชาคมร่วมคิด ร่วมทำ ฯ</t>
  </si>
  <si>
    <t>เข้มแข็งของชุมชน00253</t>
  </si>
  <si>
    <t xml:space="preserve"> - โครงการจัดงานสมโภชน์ฉลองอนุสาวรีย์ท้าวสุรนารี </t>
  </si>
  <si>
    <t xml:space="preserve"> - โครงการฝึกอบรมศิลธรรม คุณธรรม จริยธรรม</t>
  </si>
  <si>
    <t xml:space="preserve"> - โครงการมัคคุเทศก์น้อยนำเที่ยวปรางค์พะโค</t>
  </si>
  <si>
    <t xml:space="preserve"> - โครงการฝึกอบรมอาชีพด้านการเกษตรและด้านปศุสัตว์ฯ</t>
  </si>
  <si>
    <t xml:space="preserve"> - โครงการพระราชเสาวนีย์</t>
  </si>
  <si>
    <t xml:space="preserve"> -   ค่าเบี้ยยังชีพผู้ป่วยโรคเอดส์</t>
  </si>
  <si>
    <t xml:space="preserve"> -  รายจ่ายตามข้อผูกพัน</t>
  </si>
  <si>
    <t xml:space="preserve"> -  สำรองจ่าย</t>
  </si>
  <si>
    <t xml:space="preserve"> -  เงินสมทบกองทุนประกันสังคม</t>
  </si>
  <si>
    <t xml:space="preserve"> -   ค่าเบี้ยยังชีพผู้สูงอายุ</t>
  </si>
  <si>
    <t xml:space="preserve"> -   ค่าเบี้ยยังชีพผู้พิการ</t>
  </si>
  <si>
    <t xml:space="preserve"> - โครงการอาหารกลางวัน โรงเรียนวัดพะโค</t>
  </si>
  <si>
    <t xml:space="preserve"> - โครงการอาหารกลางวันบ้านดอน</t>
  </si>
  <si>
    <t>โครงการศูนย์ข้อมูลข่าวสาร</t>
  </si>
  <si>
    <t xml:space="preserve"> - รายจ่ายค้างจ่าย (ค่าจ้างสถาบันสำรวจประเมินความพึงพอในฯ)</t>
  </si>
  <si>
    <t xml:space="preserve">     -  โครงการจัดซื้อเครื่องเล่นสนามพร้อมติดตั้ง จำนวน 3 ชุด</t>
  </si>
  <si>
    <t xml:space="preserve"> - โครงการหมู่บ้านเป็นหนึ่งเดียวรวมพลังกำจัดขยะ</t>
  </si>
  <si>
    <t xml:space="preserve"> - โครงการสนับสนุนกิจกรรมด้านหลักปรัชญาเศรษฐกิจพอเพียงฯ</t>
  </si>
  <si>
    <t>ส่งเสริมการเกษตร</t>
  </si>
  <si>
    <t>งานกำจัดขยะมูลฝอยและสิ่งปฏิกูล</t>
  </si>
  <si>
    <t>5.ประเภทครุภัณฑ์กีฬา</t>
  </si>
  <si>
    <t>ครุภัณฑ์ที่ดินและสิ่งก่อสร้าง</t>
  </si>
  <si>
    <t xml:space="preserve">     -  โครงการต่อเติมห้องพัสดุ</t>
  </si>
  <si>
    <t xml:space="preserve">     -  โครงการขยายห้องสำนักงานปลัดด้านหน้า</t>
  </si>
  <si>
    <t xml:space="preserve"> -  โครงการประกวดหมู่บ้านต้นแบบความสะอาดและการจัดการขยะฯ</t>
  </si>
  <si>
    <t>6.ประเภทครุภัณฑ์เกษตร</t>
  </si>
  <si>
    <t xml:space="preserve">     -  จัดซื้อเครื่องสูบน้ำ</t>
  </si>
  <si>
    <t xml:space="preserve">     -  ค่าจัดซื้อเครื่องกดแบบประเมินความพึงพอใจแบบอัตโนมัติฯ</t>
  </si>
  <si>
    <t>1.ประเภทครุภัณฑ์คอมพิวเตอร์</t>
  </si>
  <si>
    <t xml:space="preserve">      -  โครงการต่อเติมอาคารศูนย์สามวัย อบต.กระโทก</t>
  </si>
  <si>
    <t>อบต.กระโทก</t>
  </si>
  <si>
    <t>ค่าครุภัณฑ์กีฬา  โครงการจัดซื้อเคีรื่องเล่น</t>
  </si>
  <si>
    <t xml:space="preserve">     -  ค่าจัดซื้อตู้เหล็ก 2 บาน จำนวน 1 ตู้</t>
  </si>
  <si>
    <t xml:space="preserve">     -  ค่าจัดซื้อโต๊ะทำงานเหล็ก ขนาด 4 ฟุต</t>
  </si>
  <si>
    <t xml:space="preserve">     -  ค่าจัดซื้อโต๊ะหมู่บูชา</t>
  </si>
  <si>
    <t xml:space="preserve">     -  ค่าจัดซื้อพัดลมติดผนัง  ขนาด  16  นิ้ว</t>
  </si>
  <si>
    <t xml:space="preserve">     -  ค่าจัดซื้อโทรทัศน์ แอลอีดี ระดับความละเอียดจอภาพฯ</t>
  </si>
  <si>
    <t>4.ประเภทครุภัณฑ์งานบ้านงานครัว</t>
  </si>
  <si>
    <t xml:space="preserve">     -  ค่าจัดซื้อตู้เย็น  ขนาด 7 คิวบิกฟุต</t>
  </si>
  <si>
    <t xml:space="preserve">       -  อุดหนุนโครงการศูนย์รวมข้อมูลองค์กรปกครองส่วนท้องถิ่นฯ</t>
  </si>
  <si>
    <t xml:space="preserve">     -  ค่าจัดซื้อเครื่องคอมพิวเตอร์ สำหรับงานประมวลผล แบบที่ 2</t>
  </si>
  <si>
    <t xml:space="preserve"> -  โครงการฝึกอบรมทบทวนอาสาสมัครป้องกันภัยฝ่ายพลเรือน</t>
  </si>
  <si>
    <t>3  ประเภท วัสดุคอมพิวเตอร์</t>
  </si>
  <si>
    <t xml:space="preserve"> - โครงการทัศนศึกษาแหล่งเรียนรู้นอกสถานศึกษา</t>
  </si>
  <si>
    <t xml:space="preserve">     -  ค่าจัดซื้อกล้องถ่ายภาพนิ่ง ระบบดิจิตอล</t>
  </si>
  <si>
    <t>1.  ประเภท  ครุภัณฑ์โฆษณาและเผยแพร่</t>
  </si>
  <si>
    <t xml:space="preserve">     -  ค่าจัดซื้อเครื่องสำรองไฟฟ้า ขนาด 800  VA</t>
  </si>
  <si>
    <t>งานไฟฟ้าถนน</t>
  </si>
  <si>
    <t xml:space="preserve"> -  โครงการก่อสร้างศาลาเอนกประสงค์ (ม.11) บ้านปรางค์พะโค</t>
  </si>
  <si>
    <t xml:space="preserve"> -  โครงการก่อสร้างถนน คสล.ซอยบ้านนางลัดดา ม.9</t>
  </si>
  <si>
    <t xml:space="preserve"> -  โครงการก่อสร้างถนนคสล.ซอยสุขใจ ม.2</t>
  </si>
  <si>
    <t xml:space="preserve"> -  โครงการก่อสร้างถนนลาดยาง (แอสฟัลติกส์)</t>
  </si>
  <si>
    <t xml:space="preserve"> - โครงการก่อสร้างถนนหินคลุก ซอยบ้านนางจันทร์ ม.2</t>
  </si>
  <si>
    <t xml:space="preserve"> - โครงการก่อสร้างถนนหินคลุก ซอยบ้านนายเลย ม.2</t>
  </si>
  <si>
    <t xml:space="preserve"> - โครงการก่อสร้างถนนหินคลุก ซอยประชารื่นรมย์ ม.5</t>
  </si>
  <si>
    <t xml:space="preserve"> - โครงการก่อสร้างถนนหินคลุก ม.5 </t>
  </si>
  <si>
    <t xml:space="preserve"> - โครงการก่อสร้างถนนหินคลุก บริเวณคลองกุ่ม ม.3</t>
  </si>
  <si>
    <t xml:space="preserve"> - โครงการก่อสร้างรางระเบายน้ำ  ซอยบ้านนางหวล ม.4</t>
  </si>
  <si>
    <t xml:space="preserve"> - โครงการก่อสร้างรางระบายน้ำ ซอยบ้านป้ามน ม.9</t>
  </si>
  <si>
    <t xml:space="preserve"> - โครงการวางท่อคอนเวิร์ต บริเวณคลองจิก-ซอยทุ่งมะขามเตี้ย ม.9</t>
  </si>
  <si>
    <t xml:space="preserve"> - โครงการวางท่อระบายน้ำทำนบกกกระโดน ม.11</t>
  </si>
  <si>
    <t xml:space="preserve"> - โครงการซ่อมแซมคอสะพานท่าจาน ม.2</t>
  </si>
  <si>
    <t xml:space="preserve"> - โครงการซ่อมแซมถนนคอนกรึต ทางเข้าเกาะลอย ม.8</t>
  </si>
  <si>
    <t>3.  ประเภท  ครุภัณฑ์กีฬา</t>
  </si>
  <si>
    <t xml:space="preserve">     -  โครงการจัดซื้อและติดตั้งเครื่องออกกำลังกาย ม.6</t>
  </si>
  <si>
    <t xml:space="preserve">     -  โครงการจัดซื้อและติดตั้งเครื่องออกกำลังกาย ม.13</t>
  </si>
  <si>
    <t>งานสวนสาธารณะ</t>
  </si>
  <si>
    <t xml:space="preserve"> - โครงการเทคอนกตีตสนามเด็กเล่น ม.13</t>
  </si>
  <si>
    <t xml:space="preserve"> - โครงการก่อสร้างเตาเผาขยะแบบไร้ควัน</t>
  </si>
  <si>
    <t xml:space="preserve"> - โครงการฝึกอบรมและศึกษาดูงานด้านอาชีพเพื่อพัฒนากลุ่มสตรีฯ</t>
  </si>
  <si>
    <t xml:space="preserve"> - โครงการพัฒนาศักยภาพผู้สูงอายุตำบลกระโทก</t>
  </si>
  <si>
    <t xml:space="preserve"> - โครงการแข่งขันกีฬาตำบลกระโทก</t>
  </si>
  <si>
    <t xml:space="preserve"> - โครงการพัฒนาทรัพยากรการท่องเที่ยวตำบลกระโทก</t>
  </si>
  <si>
    <t xml:space="preserve"> - โครงการส่งเสริมการใช้ปุ๋ยอินทรีย์</t>
  </si>
  <si>
    <t xml:space="preserve"> - โครงการส่งเสริมการเรียนรู้ปรัชญาเศรษฐกิจพอเพียงในการส่งเสริมฯ</t>
  </si>
  <si>
    <t xml:space="preserve"> - โครงการอบรมเสริมทักษะการเรียนรู้ด้านการเกษตรให้แก่เด็กนักเรียน</t>
  </si>
  <si>
    <t xml:space="preserve"> -  โครงการกำจัดผักตบชวาในลำคลอง</t>
  </si>
  <si>
    <t xml:space="preserve"> -  โครงการส่งเสริมกลุ่มอนุรักษ์คืนชีวิตและความสดใสให้ลุ่มน้ำมูล</t>
  </si>
  <si>
    <t xml:space="preserve"> - โครงการต่อเติมห้องพัสดุ อบต.</t>
  </si>
  <si>
    <t>รายจ่ายค้างจ่าย ประจำปีงบประมาณ 2561</t>
  </si>
  <si>
    <t>เงินเดือนฝ่ายบริหาร</t>
  </si>
  <si>
    <t>เงินเดือนฝ่ายประจำ</t>
  </si>
  <si>
    <t xml:space="preserve"> - โครงการตลาดประชารัฐท้องถิ่นสุขใจ </t>
  </si>
  <si>
    <t>จ่ายขาดเงินสะสม ครั้งที่ 1/59 วันที่  9  กุมภาพันธ์  2561</t>
  </si>
  <si>
    <r>
      <t xml:space="preserve">ประเภท  </t>
    </r>
    <r>
      <rPr>
        <b/>
        <sz val="12"/>
        <rFont val="Angsana New"/>
        <family val="1"/>
      </rPr>
      <t xml:space="preserve"> ค่าก่อสร้างสาธารณูปโภค</t>
    </r>
  </si>
  <si>
    <t>1.  โครงการก่อสร้างถนนหินคลุก ซอยคลองหนองเรือ ม.2</t>
  </si>
  <si>
    <t>2.  โครงการขยายไหล่ทาง คสล. ม.4 บ้านโครกระสังข์จากบ้านบังอรถึงแยกชลประทาน</t>
  </si>
  <si>
    <t>3.  โครงการขุดลอกเหมืองไส้ไก่ ม.6  บข้านโพธิ์เงิน</t>
  </si>
  <si>
    <t>4.  โครงการขุดลอกไหล่ทางเพื่อระบายน้ำ (ถนนสาย 224 ทั้ง 2 ข้าง) ม.11</t>
  </si>
  <si>
    <t>5.  โครงการก่อสร้างดาดเหมืองคอรกรีต ม.10 บ้านใหม่ (วอยคอมหมูถึงนานายกิตติ)</t>
  </si>
  <si>
    <t>6.  โครงการวางท่อระบายน้ำ คสล.พร้อมบ่อพัก (โรงเรียนวัดพะโค)</t>
  </si>
  <si>
    <t>7.  โครงการบูรณาการจัดการน้ำ  เพื่อแก้ไขปัญหาภัยแล้ง</t>
  </si>
  <si>
    <t>1.  โครงการซ่อมแซมทำนบคลองกุ่ม  ม.3  บ้านดอนใหญ่</t>
  </si>
  <si>
    <t>2.  โครงการปรับปรุงรางระบายน้ำจากหน้าประปาหมู่บ้าน ม.5 บ้านพะโค</t>
  </si>
  <si>
    <t>3.  โครงการซ่อมแซมถนนหินคลุก ม.8 บ้านชะอม สายดอนละกอ</t>
  </si>
  <si>
    <t>4.  โครงการซ่อมแซมถนน คสล. ช่วงนานางค่ำสายไปโรงงานซีพี ม.2 หนองคล้า</t>
  </si>
  <si>
    <t>5.  โครงการซ่อมแซมท่อระบายน้ำ  คลองสาระเทศ 2 จุด ม.5  บ้านพะโค</t>
  </si>
  <si>
    <t>6.  โครงการปรับปรุงลานกีฬา อบต.กระโทก แบบยางพาราแอสฟัลท์ติกคอนกรีต</t>
  </si>
  <si>
    <r>
      <t>ประเภท</t>
    </r>
    <r>
      <rPr>
        <b/>
        <sz val="12"/>
        <color indexed="10"/>
        <rFont val="Angsana New"/>
        <family val="1"/>
      </rPr>
      <t xml:space="preserve">  </t>
    </r>
    <r>
      <rPr>
        <sz val="12"/>
        <color indexed="10"/>
        <rFont val="Angsana New"/>
        <family val="1"/>
      </rPr>
      <t>เงินเดือนพนักงานครู</t>
    </r>
  </si>
  <si>
    <r>
      <t xml:space="preserve"> - </t>
    </r>
    <r>
      <rPr>
        <sz val="12"/>
        <color indexed="10"/>
        <rFont val="Angsana New"/>
        <family val="1"/>
      </rPr>
      <t>ค่าจัดซื้ออาหารเสริม(นม)โรงเรียนศูนย์พัฒนาเด็กฯ</t>
    </r>
  </si>
  <si>
    <r>
      <t xml:space="preserve"> - </t>
    </r>
    <r>
      <rPr>
        <sz val="12"/>
        <color indexed="10"/>
        <rFont val="Angsana New"/>
        <family val="1"/>
      </rPr>
      <t xml:space="preserve">ค่าจัดซื้ออาหารเสริม(นม)โรงเรียนวัดพะโค </t>
    </r>
  </si>
  <si>
    <r>
      <t xml:space="preserve"> - </t>
    </r>
    <r>
      <rPr>
        <sz val="12"/>
        <color indexed="10"/>
        <rFont val="Angsana New"/>
        <family val="1"/>
      </rPr>
      <t>ค่าจัดซื้ออาหารเสริม(นม)โรงเรียนบ้านดอน</t>
    </r>
  </si>
  <si>
    <t xml:space="preserve"> - โครงการจัดงานวันผู้สูงอายุและวันครอบครัว</t>
  </si>
  <si>
    <t xml:space="preserve"> - โครงการพระราชดำริด้านสาธารณสุข</t>
  </si>
  <si>
    <t xml:space="preserve"> -  โครงการอาสาสมัครท้องถิ่นรักษ์โลก อบต.กระโทก</t>
  </si>
  <si>
    <t>งบประมาณรายจ่าย  ประจำปีงบประมาณ  2561  ตั้งแต่วันที่ 1  ตุลาคม  2560 ถึงวันที่  30  กันยายน  2561</t>
  </si>
  <si>
    <t>งบประมาณรายจ่าย  ประจำปีงบประมาณ  2561 ตั้งแต่วันที่ 1  ตุลาคม  2560 ถึงวันที่  30  กันยายน  2561</t>
  </si>
  <si>
    <t>งบประมาณรายจ่าย  ประจำปีงบประมาณ  2561  ตั้งแต่วันที่ 1  ตุลาคม  2560  ถึงวันที่  30  กันยายน  2561</t>
  </si>
  <si>
    <t xml:space="preserve">งบประมาณรายจ่าย  ประจำปีงบประมาณ  2561  ตั้งแต่วันที่ 1  ตุลาคม  2560  ถึงวันที่  30  กันยายน  2561 </t>
  </si>
  <si>
    <t>รวมเงินเดือน</t>
  </si>
  <si>
    <t xml:space="preserve">  -  ค่าตอบแทนคณะกรรมการตรวจการจ้างฯ</t>
  </si>
  <si>
    <t xml:space="preserve">  -  ค่าเช่าบ้าน</t>
  </si>
  <si>
    <t xml:space="preserve">  -  เงินช่วยเหลือการศึกษาบุตร</t>
  </si>
  <si>
    <t>รวมค่าตอบแทน</t>
  </si>
  <si>
    <r>
      <t>2  ปรเภท</t>
    </r>
    <r>
      <rPr>
        <b/>
        <sz val="12"/>
        <rFont val="Angsana New"/>
        <family val="1"/>
      </rPr>
      <t xml:space="preserve">  ร</t>
    </r>
    <r>
      <rPr>
        <sz val="12"/>
        <rFont val="Angsana New"/>
        <family val="1"/>
      </rPr>
      <t>ายจ่ายเกี่ยวกับการรับรองและพิธีการ</t>
    </r>
  </si>
  <si>
    <r>
      <t>3  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รายจ่ายเกี่ยวเนื่องกับการปฏิบัติราชการที่ไม่เข้าฯ</t>
    </r>
  </si>
  <si>
    <t>รวมค่าใช้สอย</t>
  </si>
  <si>
    <t xml:space="preserve"> ค่าวัสดุ</t>
  </si>
  <si>
    <t>รวมค่าวัสดุ</t>
  </si>
  <si>
    <t xml:space="preserve"> หมวดค่าสาธารณูปโภค</t>
  </si>
  <si>
    <t xml:space="preserve">        1  ประเภท  ค่าไฟฟ้า</t>
  </si>
  <si>
    <t xml:space="preserve">        2  ประเภท  ค่าน้ำประปา</t>
  </si>
  <si>
    <t xml:space="preserve">        3  ประเภท  ค่าโทรศัพท์</t>
  </si>
  <si>
    <t xml:space="preserve">        4  ประเภท  ค่าไปรษณีย์  ค่าโทรเลข  ค่าธนาณัติ  ค่าซื้อ</t>
  </si>
  <si>
    <t xml:space="preserve">        5  ประเภทค่าบริการโทรคมนาคมค่าเช่าอินเตอร์เน็ตตำบล</t>
  </si>
  <si>
    <t>รวมค่าสาธารณูปโภค</t>
  </si>
  <si>
    <t>2.ประเภทครุภัณฑ์ไฟฟ้าและวิทยุ</t>
  </si>
  <si>
    <t>3.ประเภทครุภัณฑ์งานบ้านงานครัว</t>
  </si>
  <si>
    <t>รวมครุภัณฑ์</t>
  </si>
  <si>
    <t>รวมอุดหนุน</t>
  </si>
  <si>
    <r>
      <t>1  ปรเภท</t>
    </r>
    <r>
      <rPr>
        <b/>
        <sz val="16"/>
        <rFont val="Angsana New"/>
        <family val="1"/>
      </rPr>
      <t xml:space="preserve">  ร</t>
    </r>
    <r>
      <rPr>
        <sz val="16"/>
        <rFont val="Angsana New"/>
        <family val="1"/>
      </rPr>
      <t>ายจ่ายเพื่อให้ได้มาซึ่งบริการ</t>
    </r>
  </si>
  <si>
    <r>
      <t xml:space="preserve"> - </t>
    </r>
    <r>
      <rPr>
        <sz val="16"/>
        <rFont val="Angsana New"/>
        <family val="1"/>
      </rPr>
      <t>ค่าจ้างเหมาบริการ เช่นค่าเย็บหนังสือหรือเข้าปกหนังสือ ค่าเติน้ำยาฯ</t>
    </r>
  </si>
  <si>
    <r>
      <t>2  ปรเภท</t>
    </r>
    <r>
      <rPr>
        <b/>
        <sz val="16"/>
        <rFont val="Angsana New"/>
        <family val="1"/>
      </rPr>
      <t xml:space="preserve">  ร</t>
    </r>
    <r>
      <rPr>
        <sz val="16"/>
        <rFont val="Angsana New"/>
        <family val="1"/>
      </rPr>
      <t>ายจ่ายเกี่ยวกับการรับรองและพิธีการ</t>
    </r>
  </si>
  <si>
    <r>
      <t>3  ประเภท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รายจ่ายเกี่ยวเนื่องกับการปฏิบัติราชการที่ไม่เข้าฯ</t>
    </r>
  </si>
  <si>
    <r>
      <t>2.2.4  ประเภท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ค่าบำรุงรักษาและซ่อมแซม</t>
    </r>
  </si>
  <si>
    <r>
      <t>1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 xml:space="preserve">ค่าวัสดุสำนักงาน </t>
    </r>
  </si>
  <si>
    <r>
      <t>2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 xml:space="preserve">ค่าวัสดุไฟฟ้าและวิทยุ </t>
    </r>
  </si>
  <si>
    <r>
      <t>3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>ค่าวัสดุงานบ้านงานครัว</t>
    </r>
  </si>
  <si>
    <r>
      <t>4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>ค่าวัสดุก่อสร้าง</t>
    </r>
  </si>
  <si>
    <r>
      <t>5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>ค่าวัสดุพาหนะและขนส่ง</t>
    </r>
  </si>
  <si>
    <r>
      <t xml:space="preserve">6  ประเภท 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ค่าวัสดุเชื้อเพลิงและหล่อลื่น</t>
    </r>
  </si>
  <si>
    <r>
      <t xml:space="preserve">7  ประเภท 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ค่าวัสดุวิทยาศาสตร์และการแพทย์</t>
    </r>
  </si>
  <si>
    <r>
      <t>8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>ค่าวัสดุโฆษณาและเผยแพร่</t>
    </r>
  </si>
  <si>
    <r>
      <t>9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>ค่าวัสดุคอมพิวเตอร์</t>
    </r>
  </si>
  <si>
    <r>
      <t xml:space="preserve">10  ประเภท 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ค่าวัสดุการเกษตร</t>
    </r>
  </si>
  <si>
    <r>
      <t>11  ประเภท</t>
    </r>
    <r>
      <rPr>
        <b/>
        <sz val="16"/>
        <rFont val="Angsana New"/>
        <family val="1"/>
      </rPr>
      <t xml:space="preserve">   </t>
    </r>
    <r>
      <rPr>
        <sz val="16"/>
        <rFont val="Angsana New"/>
        <family val="1"/>
      </rPr>
      <t>ค่าวัสดุเครื่องแต่งกาย (ฉีดพ่นสารเคมี)</t>
    </r>
  </si>
  <si>
    <t>(สำนักปลัด)</t>
  </si>
  <si>
    <t>งบประมาณ</t>
  </si>
  <si>
    <t>จำนวนเงินจ่าย</t>
  </si>
  <si>
    <t>ทั้งสิ้น</t>
  </si>
  <si>
    <t>รวมเงินดือน</t>
  </si>
  <si>
    <t>ค่าจ้างชั่วคราว</t>
  </si>
  <si>
    <r>
      <t xml:space="preserve"> </t>
    </r>
    <r>
      <rPr>
        <sz val="12"/>
        <rFont val="Angsana New"/>
        <family val="1"/>
      </rPr>
      <t>รายจ่ายเพื่อให้ได้มาซึ่งบริการ</t>
    </r>
  </si>
  <si>
    <r>
      <t>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ค่าบำรุงรักษาและซ่อมแซม</t>
    </r>
  </si>
  <si>
    <t>รายจ่ายเกี่ยวเนื่องกับการปฏิบัติราชการฯ</t>
  </si>
  <si>
    <r>
      <t>1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ค่าวัสดุสำนักงาน</t>
    </r>
  </si>
  <si>
    <r>
      <t xml:space="preserve">2  </t>
    </r>
    <r>
      <rPr>
        <sz val="12"/>
        <rFont val="Angsana New"/>
        <family val="1"/>
      </rPr>
      <t>ค่าวัสดุคอมพิวเตอร์</t>
    </r>
  </si>
  <si>
    <t>รวมค่าจ้างชั่วคราว</t>
  </si>
  <si>
    <t>รวมค่าคอบแทน</t>
  </si>
  <si>
    <r>
      <t>ประเภท</t>
    </r>
    <r>
      <rPr>
        <b/>
        <sz val="16"/>
        <rFont val="Angsana New"/>
        <family val="1"/>
      </rPr>
      <t xml:space="preserve"> เงินเดือนหรือเงินที่จ่ายให้แก่พนักงานฯ</t>
    </r>
  </si>
  <si>
    <r>
      <t xml:space="preserve">1  </t>
    </r>
    <r>
      <rPr>
        <sz val="16"/>
        <rFont val="Angsana New"/>
        <family val="1"/>
      </rPr>
      <t>ค่าตอบแทนคณะกรรมการตรวจการจ้าง</t>
    </r>
  </si>
  <si>
    <r>
      <t xml:space="preserve">2  </t>
    </r>
    <r>
      <rPr>
        <sz val="16"/>
        <rFont val="Angsana New"/>
        <family val="1"/>
      </rPr>
      <t>ค่าตอบแทนการปฎิบัติงานนอกเวลาราชการ</t>
    </r>
  </si>
  <si>
    <r>
      <t xml:space="preserve">3  </t>
    </r>
    <r>
      <rPr>
        <sz val="16"/>
        <rFont val="Angsana New"/>
        <family val="1"/>
      </rPr>
      <t>เงินค่าเช่าบ้าน</t>
    </r>
  </si>
  <si>
    <r>
      <t xml:space="preserve">4  </t>
    </r>
    <r>
      <rPr>
        <sz val="16"/>
        <rFont val="Angsana New"/>
        <family val="1"/>
      </rPr>
      <t>เงินช่วยเหลือการศึกษาบุตร</t>
    </r>
  </si>
  <si>
    <r>
      <t xml:space="preserve"> </t>
    </r>
    <r>
      <rPr>
        <sz val="16"/>
        <rFont val="Angsana New"/>
        <family val="1"/>
      </rPr>
      <t>รายจ่ายเพื่อให้ได้มาซึ่งบริการ</t>
    </r>
  </si>
  <si>
    <r>
      <t>ประเภท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ค่าบำรุงรักษาและซ่อมแซม</t>
    </r>
  </si>
  <si>
    <r>
      <t>1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ค่าวัสดุสำนักงาน</t>
    </r>
  </si>
  <si>
    <r>
      <t xml:space="preserve">2  </t>
    </r>
    <r>
      <rPr>
        <sz val="16"/>
        <rFont val="Angsana New"/>
        <family val="1"/>
      </rPr>
      <t>ค่าวัสดุคอมพิวเตอร์</t>
    </r>
  </si>
  <si>
    <t>สรุปผลการเบิกจ่ายเงินตามข้อบัญญัติงบประมาณประจำปี  2561</t>
  </si>
  <si>
    <t>(กองคลัง)</t>
  </si>
  <si>
    <t>รวมค่าครุภัณฑ์</t>
  </si>
  <si>
    <t>รวมค่าที่ดินและสิ่งก่อสร้าง</t>
  </si>
  <si>
    <r>
      <t>หมวด</t>
    </r>
    <r>
      <rPr>
        <b/>
        <sz val="16"/>
        <rFont val="Angsana New"/>
        <family val="1"/>
      </rPr>
      <t xml:space="preserve">  เงินเดือน</t>
    </r>
  </si>
  <si>
    <r>
      <t>ประเภท</t>
    </r>
    <r>
      <rPr>
        <sz val="16"/>
        <rFont val="Angsana New"/>
        <family val="1"/>
      </rPr>
      <t xml:space="preserve">  เงินเดือนพนักงานส่วนตำบล</t>
    </r>
  </si>
  <si>
    <r>
      <t>ประเภท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เงินประจำตำแหน่งฯ</t>
    </r>
  </si>
  <si>
    <r>
      <t xml:space="preserve">2.1.1  </t>
    </r>
    <r>
      <rPr>
        <sz val="16"/>
        <rFont val="Angsana New"/>
        <family val="1"/>
      </rPr>
      <t>เงินค่าเช่าบ้าน</t>
    </r>
  </si>
  <si>
    <r>
      <t xml:space="preserve">2.1.2  </t>
    </r>
    <r>
      <rPr>
        <sz val="16"/>
        <rFont val="Angsana New"/>
        <family val="1"/>
      </rPr>
      <t>เงินช่วยเหลือการศึกษาบุตร</t>
    </r>
  </si>
  <si>
    <r>
      <t>1.3.5  ปรเภท</t>
    </r>
    <r>
      <rPr>
        <b/>
        <sz val="16"/>
        <rFont val="Angsana New"/>
        <family val="1"/>
      </rPr>
      <t xml:space="preserve">  ร</t>
    </r>
    <r>
      <rPr>
        <sz val="16"/>
        <rFont val="Angsana New"/>
        <family val="1"/>
      </rPr>
      <t>ายจ่ายเพื่อให้ได้มาซึ่งบริการ</t>
    </r>
  </si>
  <si>
    <r>
      <t>1.3.6  ปรเภท</t>
    </r>
    <r>
      <rPr>
        <b/>
        <sz val="16"/>
        <rFont val="Angsana New"/>
        <family val="1"/>
      </rPr>
      <t xml:space="preserve">  ร</t>
    </r>
    <r>
      <rPr>
        <sz val="16"/>
        <rFont val="Angsana New"/>
        <family val="1"/>
      </rPr>
      <t>ายจ่ายเกี่ยวเนื่องกับการปฏิบัติราชการ</t>
    </r>
  </si>
  <si>
    <r>
      <t>1.3.7  ประเภท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>รายจ่ายเพื่อบำรุงรักษาหรือซ่อมแซม</t>
    </r>
  </si>
  <si>
    <r>
      <t xml:space="preserve">2.3.1  ประเภท  </t>
    </r>
    <r>
      <rPr>
        <u val="single"/>
        <sz val="16"/>
        <rFont val="Angsana New"/>
        <family val="1"/>
      </rPr>
      <t>ค่าวัสดุสำนักงาน</t>
    </r>
  </si>
  <si>
    <r>
      <t xml:space="preserve">2.3.2  ประเภท  </t>
    </r>
    <r>
      <rPr>
        <u val="single"/>
        <sz val="16"/>
        <rFont val="Angsana New"/>
        <family val="1"/>
      </rPr>
      <t>วัสดุไฟฟ้าและวิทยุ</t>
    </r>
  </si>
  <si>
    <t>(กองช่าง)</t>
  </si>
  <si>
    <r>
      <t>1  ประเภท</t>
    </r>
    <r>
      <rPr>
        <b/>
        <sz val="12"/>
        <rFont val="Angsana New"/>
        <family val="1"/>
      </rPr>
      <t xml:space="preserve">  </t>
    </r>
    <r>
      <rPr>
        <sz val="12"/>
        <rFont val="Angsana New"/>
        <family val="1"/>
      </rPr>
      <t>เงินช่วยเหลือการศึกษาบุตร</t>
    </r>
  </si>
  <si>
    <r>
      <t>2  ประเภท</t>
    </r>
    <r>
      <rPr>
        <sz val="12"/>
        <rFont val="Angsana New"/>
        <family val="1"/>
      </rPr>
      <t xml:space="preserve">  ค่าเช่าบ้าน</t>
    </r>
  </si>
  <si>
    <t>(กองการศึกษา)</t>
  </si>
  <si>
    <r>
      <t>ประเภท</t>
    </r>
    <r>
      <rPr>
        <sz val="16"/>
        <rFont val="Angsana New"/>
        <family val="1"/>
      </rPr>
      <t xml:space="preserve">  เงินเดือนพนักงานพนักงานส่วนตำบล</t>
    </r>
  </si>
  <si>
    <r>
      <t>ประเภท</t>
    </r>
    <r>
      <rPr>
        <b/>
        <sz val="16"/>
        <rFont val="Angsana New"/>
        <family val="1"/>
      </rPr>
      <t xml:space="preserve">  เงินเดือนหรือเงินที่จ่ายเพิ่มให้แก่พนักงานจ้าง</t>
    </r>
  </si>
  <si>
    <r>
      <t>1  ประเภท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เงินช่วยเหลือการศึกษาบุตร</t>
    </r>
  </si>
  <si>
    <r>
      <t>2  ประเภท</t>
    </r>
    <r>
      <rPr>
        <sz val="16"/>
        <rFont val="Angsana New"/>
        <family val="1"/>
      </rPr>
      <t xml:space="preserve">  ค่าเช่าบ้าน</t>
    </r>
  </si>
  <si>
    <r>
      <t>2  ประเภท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รายจ่ายเกี่ยวเนื่องกับการปฏิบัติราชการฯที่ไม่เข้าลักษณะฯ</t>
    </r>
  </si>
  <si>
    <r>
      <t xml:space="preserve"> </t>
    </r>
    <r>
      <rPr>
        <sz val="16"/>
        <rFont val="Angsana New"/>
        <family val="1"/>
      </rPr>
      <t>-โครงการจัดกิจกรรมวันสำคัญของชาติ</t>
    </r>
  </si>
  <si>
    <r>
      <t xml:space="preserve"> </t>
    </r>
    <r>
      <rPr>
        <sz val="16"/>
        <rFont val="Angsana New"/>
        <family val="1"/>
      </rPr>
      <t>- ค่าใช้จ่ายในการเดินทางไปราชการสำหรับค่าเบี้ยเลี้ยง ค่าพาหนะฯ</t>
    </r>
  </si>
  <si>
    <r>
      <t>3  ปรเภท</t>
    </r>
    <r>
      <rPr>
        <b/>
        <sz val="16"/>
        <rFont val="Angsana New"/>
        <family val="1"/>
      </rPr>
      <t xml:space="preserve">  ร</t>
    </r>
    <r>
      <rPr>
        <sz val="16"/>
        <rFont val="Angsana New"/>
        <family val="1"/>
      </rPr>
      <t>ายจ่ายเพื่อบำรุงรักษาหรือซ่อมแซมทรัพย์สิน</t>
    </r>
  </si>
  <si>
    <r>
      <t>3.1  ประเภท</t>
    </r>
    <r>
      <rPr>
        <sz val="16"/>
        <rFont val="Angsana New"/>
        <family val="1"/>
      </rPr>
      <t xml:space="preserve">  เงินอุดหนุนส่วนราชการ</t>
    </r>
  </si>
  <si>
    <t>ตั้งแต่  1  ตุลาคม  60 -  30  กันยายน  2561</t>
  </si>
  <si>
    <t>(งบกลาง)</t>
  </si>
  <si>
    <r>
      <t xml:space="preserve">ประเภท  </t>
    </r>
    <r>
      <rPr>
        <b/>
        <sz val="16"/>
        <rFont val="Angsana New"/>
        <family val="1"/>
      </rPr>
      <t xml:space="preserve"> ค่าก่อสร้างสาธารณูปโภค</t>
    </r>
  </si>
  <si>
    <r>
      <t>ประเภท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เงินเดือนพนักงานครู</t>
    </r>
  </si>
  <si>
    <r>
      <t xml:space="preserve"> - </t>
    </r>
    <r>
      <rPr>
        <sz val="16"/>
        <rFont val="Angsana New"/>
        <family val="1"/>
      </rPr>
      <t>ค่าจัดซื้ออาหารเสริม(นม)โรงเรียนศูนย์พัฒนาเด็กฯ</t>
    </r>
  </si>
  <si>
    <r>
      <t xml:space="preserve"> - </t>
    </r>
    <r>
      <rPr>
        <sz val="16"/>
        <rFont val="Angsana New"/>
        <family val="1"/>
      </rPr>
      <t xml:space="preserve">ค่าจัดซื้ออาหารเสริม(นม)โรงเรียนวัดพะโค </t>
    </r>
  </si>
  <si>
    <r>
      <t xml:space="preserve"> - </t>
    </r>
    <r>
      <rPr>
        <sz val="16"/>
        <rFont val="Angsana New"/>
        <family val="1"/>
      </rPr>
      <t>ค่าจัดซื้ออาหารเสริม(นม)โรงเรียนบ้านดอน</t>
    </r>
  </si>
  <si>
    <t>(เงินสะสม)</t>
  </si>
  <si>
    <t>ส่วนการคลัง</t>
  </si>
  <si>
    <t>เงินเดือน</t>
  </si>
  <si>
    <t>เงินอุดหนุน</t>
  </si>
  <si>
    <t>ค่าครุภัณฑ์</t>
  </si>
  <si>
    <t>ราจ่ายอื่น</t>
  </si>
  <si>
    <t>รายจ่ายจากจ่ายขาดเงินสะสม  งบประมาณ 2561</t>
  </si>
  <si>
    <t>สรุปผลการเบิกจ่ายเงินตามงบประมาณ  2561</t>
  </si>
  <si>
    <t>ตั้งแต่  1  ตุลาคม 60  -  30  กันยายน  2561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</si>
</sst>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_-* #,##0.0_-;\-* #,##0.0_-;_-* &quot;-&quot;??_-;_-@_-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_-* #,##0.0000000_-;\-* #,##0.0000000_-;_-* &quot;-&quot;??_-;_-@_-"/>
    <numFmt numFmtId="213" formatCode="_-* #,##0.00000000_-;\-* #,##0.00000000_-;_-* &quot;-&quot;??_-;_-@_-"/>
    <numFmt numFmtId="214" formatCode="#,##0.00_ ;\-#,##0.00\ "/>
    <numFmt numFmtId="215" formatCode="_-* #,##0.000_-;\-* #,##0.000_-;_-* &quot;-&quot;???_-;_-@_-"/>
  </numFmts>
  <fonts count="93">
    <font>
      <sz val="16"/>
      <name val="Angsan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8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u val="single"/>
      <sz val="12"/>
      <name val="Angsana New"/>
      <family val="1"/>
    </font>
    <font>
      <sz val="12"/>
      <color indexed="12"/>
      <name val="Angsana New"/>
      <family val="1"/>
    </font>
    <font>
      <b/>
      <sz val="12"/>
      <color indexed="10"/>
      <name val="Angsana New"/>
      <family val="1"/>
    </font>
    <font>
      <sz val="12"/>
      <color indexed="10"/>
      <name val="Angsana New"/>
      <family val="1"/>
    </font>
    <font>
      <b/>
      <sz val="12"/>
      <color indexed="12"/>
      <name val="Angsana New"/>
      <family val="1"/>
    </font>
    <font>
      <u val="single"/>
      <sz val="12"/>
      <name val="Angsana New"/>
      <family val="1"/>
    </font>
    <font>
      <sz val="14"/>
      <color indexed="55"/>
      <name val="Angsana New"/>
      <family val="1"/>
    </font>
    <font>
      <sz val="11"/>
      <name val="Angsana New"/>
      <family val="1"/>
    </font>
    <font>
      <b/>
      <sz val="14"/>
      <color indexed="12"/>
      <name val="Angsana New"/>
      <family val="1"/>
    </font>
    <font>
      <b/>
      <sz val="11"/>
      <name val="Angsana New"/>
      <family val="1"/>
    </font>
    <font>
      <sz val="18"/>
      <name val="Angsana New"/>
      <family val="1"/>
    </font>
    <font>
      <sz val="14"/>
      <name val="Cordia New"/>
      <family val="2"/>
    </font>
    <font>
      <sz val="28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sz val="18"/>
      <name val="Angsana New"/>
      <family val="1"/>
    </font>
    <font>
      <b/>
      <sz val="7"/>
      <name val="Angsana New"/>
      <family val="1"/>
    </font>
    <font>
      <b/>
      <sz val="8"/>
      <name val="Angsana New"/>
      <family val="1"/>
    </font>
    <font>
      <b/>
      <sz val="9"/>
      <name val="Angsana New"/>
      <family val="1"/>
    </font>
    <font>
      <b/>
      <sz val="26"/>
      <name val="Angsana New"/>
      <family val="1"/>
    </font>
    <font>
      <sz val="26"/>
      <name val="Angsana New"/>
      <family val="1"/>
    </font>
    <font>
      <b/>
      <sz val="28"/>
      <name val="Angsana New"/>
      <family val="1"/>
    </font>
    <font>
      <b/>
      <sz val="20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ngsana New"/>
      <family val="1"/>
    </font>
    <font>
      <b/>
      <sz val="11"/>
      <color indexed="10"/>
      <name val="Angsana New"/>
      <family val="1"/>
    </font>
    <font>
      <sz val="16"/>
      <color indexed="10"/>
      <name val="Angsana New"/>
      <family val="1"/>
    </font>
    <font>
      <b/>
      <u val="single"/>
      <sz val="12"/>
      <color indexed="10"/>
      <name val="Angsana New"/>
      <family val="1"/>
    </font>
    <font>
      <b/>
      <sz val="14"/>
      <color indexed="10"/>
      <name val="Angsana New"/>
      <family val="1"/>
    </font>
    <font>
      <sz val="11"/>
      <color indexed="10"/>
      <name val="Angsana New"/>
      <family val="1"/>
    </font>
    <font>
      <b/>
      <sz val="10"/>
      <color indexed="10"/>
      <name val="Angsana New"/>
      <family val="1"/>
    </font>
    <font>
      <sz val="14"/>
      <color indexed="10"/>
      <name val="Angsana New"/>
      <family val="1"/>
    </font>
    <font>
      <sz val="20"/>
      <color indexed="10"/>
      <name val="Angsana New"/>
      <family val="1"/>
    </font>
    <font>
      <b/>
      <sz val="9"/>
      <color indexed="10"/>
      <name val="Angsana New"/>
      <family val="1"/>
    </font>
    <font>
      <sz val="2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Angsana New"/>
      <family val="1"/>
    </font>
    <font>
      <sz val="10"/>
      <color rgb="FFFF0000"/>
      <name val="Angsana New"/>
      <family val="1"/>
    </font>
    <font>
      <b/>
      <sz val="12"/>
      <color rgb="FFFF0000"/>
      <name val="Angsana New"/>
      <family val="1"/>
    </font>
    <font>
      <b/>
      <sz val="11"/>
      <color rgb="FFFF0000"/>
      <name val="Angsana New"/>
      <family val="1"/>
    </font>
    <font>
      <sz val="16"/>
      <color rgb="FFFF0000"/>
      <name val="Angsana New"/>
      <family val="1"/>
    </font>
    <font>
      <b/>
      <u val="single"/>
      <sz val="12"/>
      <color rgb="FFFF0000"/>
      <name val="Angsana New"/>
      <family val="1"/>
    </font>
    <font>
      <b/>
      <sz val="14"/>
      <color rgb="FFFF0000"/>
      <name val="Angsana New"/>
      <family val="1"/>
    </font>
    <font>
      <sz val="11"/>
      <color rgb="FFFF0000"/>
      <name val="Angsana New"/>
      <family val="1"/>
    </font>
    <font>
      <b/>
      <sz val="10"/>
      <color rgb="FFFF0000"/>
      <name val="Angsana New"/>
      <family val="1"/>
    </font>
    <font>
      <sz val="14"/>
      <color rgb="FFFF0000"/>
      <name val="Angsana New"/>
      <family val="1"/>
    </font>
    <font>
      <sz val="20"/>
      <color rgb="FFFF0000"/>
      <name val="Angsana New"/>
      <family val="1"/>
    </font>
    <font>
      <b/>
      <sz val="9"/>
      <color rgb="FFFF0000"/>
      <name val="Angsana New"/>
      <family val="1"/>
    </font>
    <font>
      <sz val="22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21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202" fontId="3" fillId="0" borderId="10" xfId="33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202" fontId="4" fillId="0" borderId="12" xfId="33" applyNumberFormat="1" applyFont="1" applyFill="1" applyBorder="1" applyAlignment="1">
      <alignment horizontal="center"/>
    </xf>
    <xf numFmtId="202" fontId="4" fillId="0" borderId="11" xfId="33" applyNumberFormat="1" applyFont="1" applyFill="1" applyBorder="1" applyAlignment="1">
      <alignment horizontal="center"/>
    </xf>
    <xf numFmtId="202" fontId="7" fillId="0" borderId="10" xfId="33" applyNumberFormat="1" applyFont="1" applyBorder="1" applyAlignment="1">
      <alignment/>
    </xf>
    <xf numFmtId="202" fontId="4" fillId="0" borderId="10" xfId="33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2" fontId="7" fillId="33" borderId="10" xfId="33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202" fontId="7" fillId="0" borderId="10" xfId="33" applyNumberFormat="1" applyFont="1" applyFill="1" applyBorder="1" applyAlignment="1">
      <alignment/>
    </xf>
    <xf numFmtId="43" fontId="7" fillId="33" borderId="10" xfId="33" applyFont="1" applyFill="1" applyBorder="1" applyAlignment="1">
      <alignment/>
    </xf>
    <xf numFmtId="43" fontId="7" fillId="33" borderId="10" xfId="33" applyFont="1" applyFill="1" applyBorder="1" applyAlignment="1">
      <alignment horizontal="center"/>
    </xf>
    <xf numFmtId="43" fontId="4" fillId="0" borderId="10" xfId="33" applyFont="1" applyBorder="1" applyAlignment="1">
      <alignment horizontal="center"/>
    </xf>
    <xf numFmtId="43" fontId="7" fillId="0" borderId="10" xfId="33" applyFont="1" applyBorder="1" applyAlignment="1">
      <alignment/>
    </xf>
    <xf numFmtId="43" fontId="7" fillId="0" borderId="14" xfId="33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43" fontId="11" fillId="33" borderId="10" xfId="33" applyFont="1" applyFill="1" applyBorder="1" applyAlignment="1">
      <alignment/>
    </xf>
    <xf numFmtId="0" fontId="12" fillId="0" borderId="10" xfId="0" applyFont="1" applyBorder="1" applyAlignment="1">
      <alignment horizontal="center"/>
    </xf>
    <xf numFmtId="43" fontId="11" fillId="0" borderId="15" xfId="33" applyFont="1" applyBorder="1" applyAlignment="1">
      <alignment/>
    </xf>
    <xf numFmtId="0" fontId="4" fillId="0" borderId="11" xfId="0" applyFont="1" applyBorder="1" applyAlignment="1">
      <alignment horizontal="center"/>
    </xf>
    <xf numFmtId="43" fontId="11" fillId="0" borderId="10" xfId="33" applyFont="1" applyBorder="1" applyAlignment="1">
      <alignment/>
    </xf>
    <xf numFmtId="43" fontId="7" fillId="0" borderId="10" xfId="33" applyFont="1" applyFill="1" applyBorder="1" applyAlignment="1">
      <alignment horizontal="center"/>
    </xf>
    <xf numFmtId="43" fontId="4" fillId="0" borderId="11" xfId="33" applyFont="1" applyFill="1" applyBorder="1" applyAlignment="1">
      <alignment horizontal="center"/>
    </xf>
    <xf numFmtId="43" fontId="13" fillId="33" borderId="10" xfId="33" applyFont="1" applyFill="1" applyBorder="1" applyAlignment="1">
      <alignment/>
    </xf>
    <xf numFmtId="43" fontId="7" fillId="0" borderId="11" xfId="33" applyFont="1" applyBorder="1" applyAlignment="1">
      <alignment/>
    </xf>
    <xf numFmtId="43" fontId="13" fillId="33" borderId="16" xfId="33" applyFont="1" applyFill="1" applyBorder="1" applyAlignment="1">
      <alignment/>
    </xf>
    <xf numFmtId="43" fontId="4" fillId="0" borderId="11" xfId="33" applyFont="1" applyBorder="1" applyAlignment="1">
      <alignment horizontal="center"/>
    </xf>
    <xf numFmtId="43" fontId="7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33" borderId="16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202" fontId="7" fillId="0" borderId="11" xfId="33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3" fontId="4" fillId="0" borderId="10" xfId="33" applyFont="1" applyFill="1" applyBorder="1" applyAlignment="1">
      <alignment vertical="center" readingOrder="1"/>
    </xf>
    <xf numFmtId="43" fontId="4" fillId="0" borderId="10" xfId="33" applyFont="1" applyFill="1" applyBorder="1" applyAlignment="1">
      <alignment horizontal="center"/>
    </xf>
    <xf numFmtId="43" fontId="11" fillId="33" borderId="10" xfId="33" applyFont="1" applyFill="1" applyBorder="1" applyAlignment="1">
      <alignment horizontal="center"/>
    </xf>
    <xf numFmtId="43" fontId="7" fillId="0" borderId="10" xfId="33" applyFont="1" applyFill="1" applyBorder="1" applyAlignment="1">
      <alignment/>
    </xf>
    <xf numFmtId="0" fontId="7" fillId="0" borderId="10" xfId="0" applyFont="1" applyBorder="1" applyAlignment="1">
      <alignment horizontal="center"/>
    </xf>
    <xf numFmtId="43" fontId="13" fillId="0" borderId="10" xfId="33" applyFont="1" applyBorder="1" applyAlignment="1">
      <alignment/>
    </xf>
    <xf numFmtId="43" fontId="7" fillId="0" borderId="10" xfId="33" applyFont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43" fontId="4" fillId="0" borderId="11" xfId="33" applyFont="1" applyFill="1" applyBorder="1" applyAlignment="1">
      <alignment horizontal="center" wrapText="1"/>
    </xf>
    <xf numFmtId="43" fontId="4" fillId="0" borderId="12" xfId="33" applyFont="1" applyFill="1" applyBorder="1" applyAlignment="1">
      <alignment horizontal="center"/>
    </xf>
    <xf numFmtId="49" fontId="4" fillId="0" borderId="17" xfId="33" applyNumberFormat="1" applyFont="1" applyBorder="1" applyAlignment="1">
      <alignment/>
    </xf>
    <xf numFmtId="49" fontId="4" fillId="0" borderId="10" xfId="33" applyNumberFormat="1" applyFont="1" applyBorder="1" applyAlignment="1">
      <alignment/>
    </xf>
    <xf numFmtId="0" fontId="7" fillId="0" borderId="15" xfId="0" applyFont="1" applyBorder="1" applyAlignment="1">
      <alignment/>
    </xf>
    <xf numFmtId="43" fontId="4" fillId="0" borderId="17" xfId="33" applyFont="1" applyFill="1" applyBorder="1" applyAlignment="1">
      <alignment/>
    </xf>
    <xf numFmtId="43" fontId="4" fillId="0" borderId="10" xfId="33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202" fontId="7" fillId="0" borderId="0" xfId="33" applyNumberFormat="1" applyFont="1" applyBorder="1" applyAlignment="1">
      <alignment/>
    </xf>
    <xf numFmtId="202" fontId="7" fillId="0" borderId="10" xfId="33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43" fontId="4" fillId="0" borderId="20" xfId="33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43" fontId="7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3" fontId="7" fillId="0" borderId="0" xfId="33" applyFont="1" applyBorder="1" applyAlignment="1">
      <alignment/>
    </xf>
    <xf numFmtId="43" fontId="13" fillId="0" borderId="0" xfId="33" applyFont="1" applyBorder="1" applyAlignment="1">
      <alignment/>
    </xf>
    <xf numFmtId="0" fontId="12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7" fillId="0" borderId="16" xfId="33" applyFont="1" applyFill="1" applyBorder="1" applyAlignment="1">
      <alignment/>
    </xf>
    <xf numFmtId="43" fontId="7" fillId="0" borderId="11" xfId="33" applyFont="1" applyFill="1" applyBorder="1" applyAlignment="1">
      <alignment/>
    </xf>
    <xf numFmtId="43" fontId="7" fillId="0" borderId="15" xfId="33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43" fontId="14" fillId="0" borderId="21" xfId="33" applyFont="1" applyBorder="1" applyAlignment="1">
      <alignment horizontal="center"/>
    </xf>
    <xf numFmtId="43" fontId="4" fillId="33" borderId="16" xfId="33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9" fontId="4" fillId="0" borderId="10" xfId="33" applyNumberFormat="1" applyFont="1" applyFill="1" applyBorder="1" applyAlignment="1">
      <alignment/>
    </xf>
    <xf numFmtId="202" fontId="11" fillId="0" borderId="10" xfId="33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49" fontId="4" fillId="0" borderId="14" xfId="33" applyNumberFormat="1" applyFont="1" applyBorder="1" applyAlignment="1">
      <alignment/>
    </xf>
    <xf numFmtId="49" fontId="4" fillId="0" borderId="10" xfId="33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214" fontId="4" fillId="0" borderId="14" xfId="33" applyNumberFormat="1" applyFont="1" applyFill="1" applyBorder="1" applyAlignment="1">
      <alignment horizontal="center" vertical="center"/>
    </xf>
    <xf numFmtId="43" fontId="4" fillId="0" borderId="0" xfId="33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43" fontId="7" fillId="0" borderId="0" xfId="33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3" fillId="0" borderId="10" xfId="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43" fontId="4" fillId="0" borderId="10" xfId="33" applyFont="1" applyFill="1" applyBorder="1" applyAlignment="1">
      <alignment/>
    </xf>
    <xf numFmtId="43" fontId="4" fillId="0" borderId="15" xfId="33" applyFont="1" applyFill="1" applyBorder="1" applyAlignment="1">
      <alignment/>
    </xf>
    <xf numFmtId="43" fontId="4" fillId="0" borderId="0" xfId="33" applyFont="1" applyFill="1" applyBorder="1" applyAlignment="1">
      <alignment/>
    </xf>
    <xf numFmtId="43" fontId="4" fillId="0" borderId="16" xfId="33" applyFont="1" applyFill="1" applyBorder="1" applyAlignment="1">
      <alignment/>
    </xf>
    <xf numFmtId="43" fontId="4" fillId="0" borderId="11" xfId="33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02" fontId="7" fillId="0" borderId="10" xfId="33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02" fontId="7" fillId="0" borderId="13" xfId="33" applyNumberFormat="1" applyFont="1" applyFill="1" applyBorder="1" applyAlignment="1">
      <alignment/>
    </xf>
    <xf numFmtId="43" fontId="7" fillId="0" borderId="0" xfId="33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3" fontId="2" fillId="0" borderId="10" xfId="33" applyFont="1" applyFill="1" applyBorder="1" applyAlignment="1">
      <alignment/>
    </xf>
    <xf numFmtId="43" fontId="2" fillId="0" borderId="10" xfId="33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43" fontId="4" fillId="0" borderId="16" xfId="33" applyFont="1" applyFill="1" applyBorder="1" applyAlignment="1">
      <alignment horizontal="center"/>
    </xf>
    <xf numFmtId="43" fontId="7" fillId="0" borderId="11" xfId="3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3" fontId="7" fillId="0" borderId="0" xfId="33" applyFont="1" applyBorder="1" applyAlignment="1">
      <alignment horizontal="center"/>
    </xf>
    <xf numFmtId="43" fontId="4" fillId="0" borderId="15" xfId="33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202" fontId="18" fillId="0" borderId="11" xfId="0" applyNumberFormat="1" applyFont="1" applyFill="1" applyBorder="1" applyAlignment="1">
      <alignment/>
    </xf>
    <xf numFmtId="43" fontId="4" fillId="0" borderId="17" xfId="33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202" fontId="7" fillId="0" borderId="10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1" xfId="0" applyNumberFormat="1" applyFont="1" applyFill="1" applyBorder="1" applyAlignment="1">
      <alignment/>
    </xf>
    <xf numFmtId="202" fontId="7" fillId="0" borderId="0" xfId="33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3" fontId="2" fillId="0" borderId="16" xfId="33" applyFont="1" applyFill="1" applyBorder="1" applyAlignment="1">
      <alignment/>
    </xf>
    <xf numFmtId="43" fontId="2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7" fillId="0" borderId="16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3" fontId="3" fillId="0" borderId="11" xfId="33" applyFont="1" applyFill="1" applyBorder="1" applyAlignment="1">
      <alignment/>
    </xf>
    <xf numFmtId="43" fontId="3" fillId="0" borderId="10" xfId="33" applyFont="1" applyFill="1" applyBorder="1" applyAlignment="1">
      <alignment/>
    </xf>
    <xf numFmtId="43" fontId="1" fillId="0" borderId="10" xfId="33" applyFont="1" applyFill="1" applyBorder="1" applyAlignment="1">
      <alignment/>
    </xf>
    <xf numFmtId="43" fontId="4" fillId="0" borderId="24" xfId="33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43" fontId="7" fillId="0" borderId="23" xfId="33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3" fontId="7" fillId="0" borderId="15" xfId="33" applyFont="1" applyFill="1" applyBorder="1" applyAlignment="1">
      <alignment horizontal="center"/>
    </xf>
    <xf numFmtId="43" fontId="4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3" fontId="3" fillId="0" borderId="16" xfId="33" applyFont="1" applyFill="1" applyBorder="1" applyAlignment="1">
      <alignment horizontal="center"/>
    </xf>
    <xf numFmtId="43" fontId="3" fillId="0" borderId="16" xfId="33" applyFont="1" applyFill="1" applyBorder="1" applyAlignment="1">
      <alignment/>
    </xf>
    <xf numFmtId="43" fontId="3" fillId="0" borderId="15" xfId="33" applyFont="1" applyFill="1" applyBorder="1" applyAlignment="1">
      <alignment/>
    </xf>
    <xf numFmtId="43" fontId="7" fillId="0" borderId="14" xfId="33" applyFont="1" applyFill="1" applyBorder="1" applyAlignment="1">
      <alignment/>
    </xf>
    <xf numFmtId="202" fontId="7" fillId="0" borderId="12" xfId="33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4" fillId="0" borderId="17" xfId="33" applyNumberFormat="1" applyFont="1" applyFill="1" applyBorder="1" applyAlignment="1">
      <alignment horizontal="center"/>
    </xf>
    <xf numFmtId="202" fontId="4" fillId="0" borderId="10" xfId="33" applyNumberFormat="1" applyFont="1" applyFill="1" applyBorder="1" applyAlignment="1">
      <alignment vertical="center"/>
    </xf>
    <xf numFmtId="43" fontId="7" fillId="0" borderId="17" xfId="33" applyFont="1" applyFill="1" applyBorder="1" applyAlignment="1">
      <alignment horizontal="center"/>
    </xf>
    <xf numFmtId="43" fontId="7" fillId="0" borderId="16" xfId="3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7" fillId="0" borderId="10" xfId="33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43" fontId="4" fillId="0" borderId="25" xfId="33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202" fontId="7" fillId="0" borderId="23" xfId="33" applyNumberFormat="1" applyFont="1" applyFill="1" applyBorder="1" applyAlignment="1">
      <alignment/>
    </xf>
    <xf numFmtId="49" fontId="4" fillId="0" borderId="11" xfId="33" applyNumberFormat="1" applyFont="1" applyFill="1" applyBorder="1" applyAlignment="1">
      <alignment horizontal="center" wrapText="1"/>
    </xf>
    <xf numFmtId="43" fontId="7" fillId="0" borderId="26" xfId="33" applyNumberFormat="1" applyFont="1" applyFill="1" applyBorder="1" applyAlignment="1">
      <alignment/>
    </xf>
    <xf numFmtId="202" fontId="3" fillId="0" borderId="23" xfId="33" applyNumberFormat="1" applyFont="1" applyFill="1" applyBorder="1" applyAlignment="1">
      <alignment/>
    </xf>
    <xf numFmtId="202" fontId="3" fillId="0" borderId="11" xfId="33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2" fontId="3" fillId="0" borderId="0" xfId="33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202" fontId="4" fillId="0" borderId="11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202" fontId="14" fillId="0" borderId="11" xfId="0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43" fontId="4" fillId="0" borderId="27" xfId="33" applyFont="1" applyFill="1" applyBorder="1" applyAlignment="1">
      <alignment/>
    </xf>
    <xf numFmtId="0" fontId="7" fillId="0" borderId="18" xfId="0" applyFont="1" applyFill="1" applyBorder="1" applyAlignment="1">
      <alignment/>
    </xf>
    <xf numFmtId="43" fontId="7" fillId="0" borderId="18" xfId="33" applyFont="1" applyFill="1" applyBorder="1" applyAlignment="1">
      <alignment horizontal="center"/>
    </xf>
    <xf numFmtId="43" fontId="7" fillId="0" borderId="18" xfId="33" applyFont="1" applyFill="1" applyBorder="1" applyAlignment="1">
      <alignment/>
    </xf>
    <xf numFmtId="202" fontId="4" fillId="0" borderId="0" xfId="0" applyNumberFormat="1" applyFont="1" applyFill="1" applyBorder="1" applyAlignment="1">
      <alignment/>
    </xf>
    <xf numFmtId="43" fontId="4" fillId="0" borderId="12" xfId="33" applyFont="1" applyFill="1" applyBorder="1" applyAlignment="1">
      <alignment horizontal="center" wrapText="1"/>
    </xf>
    <xf numFmtId="43" fontId="6" fillId="0" borderId="16" xfId="33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43" fontId="2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208" fontId="7" fillId="0" borderId="10" xfId="33" applyNumberFormat="1" applyFont="1" applyFill="1" applyBorder="1" applyAlignment="1">
      <alignment horizontal="center"/>
    </xf>
    <xf numFmtId="43" fontId="4" fillId="0" borderId="15" xfId="33" applyNumberFormat="1" applyFont="1" applyFill="1" applyBorder="1" applyAlignment="1">
      <alignment horizontal="center"/>
    </xf>
    <xf numFmtId="43" fontId="4" fillId="0" borderId="26" xfId="0" applyNumberFormat="1" applyFont="1" applyFill="1" applyBorder="1" applyAlignment="1">
      <alignment/>
    </xf>
    <xf numFmtId="43" fontId="4" fillId="0" borderId="28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7" fillId="0" borderId="27" xfId="33" applyFont="1" applyFill="1" applyBorder="1" applyAlignment="1">
      <alignment/>
    </xf>
    <xf numFmtId="0" fontId="0" fillId="0" borderId="0" xfId="47" applyFont="1" applyBorder="1">
      <alignment/>
      <protection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3" fontId="7" fillId="0" borderId="10" xfId="0" applyNumberFormat="1" applyFont="1" applyFill="1" applyBorder="1" applyAlignment="1">
      <alignment horizontal="left"/>
    </xf>
    <xf numFmtId="43" fontId="22" fillId="0" borderId="0" xfId="0" applyNumberFormat="1" applyFont="1" applyFill="1" applyAlignment="1">
      <alignment/>
    </xf>
    <xf numFmtId="43" fontId="2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7" fillId="0" borderId="10" xfId="33" applyNumberFormat="1" applyFont="1" applyBorder="1" applyAlignment="1">
      <alignment/>
    </xf>
    <xf numFmtId="43" fontId="7" fillId="0" borderId="0" xfId="0" applyNumberFormat="1" applyFont="1" applyFill="1" applyAlignment="1">
      <alignment/>
    </xf>
    <xf numFmtId="43" fontId="13" fillId="0" borderId="10" xfId="33" applyFont="1" applyFill="1" applyBorder="1" applyAlignment="1">
      <alignment horizontal="center"/>
    </xf>
    <xf numFmtId="43" fontId="12" fillId="0" borderId="10" xfId="33" applyFont="1" applyFill="1" applyBorder="1" applyAlignment="1">
      <alignment/>
    </xf>
    <xf numFmtId="202" fontId="13" fillId="0" borderId="10" xfId="33" applyNumberFormat="1" applyFont="1" applyFill="1" applyBorder="1" applyAlignment="1">
      <alignment horizontal="center"/>
    </xf>
    <xf numFmtId="202" fontId="13" fillId="0" borderId="10" xfId="33" applyNumberFormat="1" applyFont="1" applyFill="1" applyBorder="1" applyAlignment="1">
      <alignment/>
    </xf>
    <xf numFmtId="43" fontId="13" fillId="0" borderId="15" xfId="33" applyFont="1" applyFill="1" applyBorder="1" applyAlignment="1">
      <alignment/>
    </xf>
    <xf numFmtId="202" fontId="13" fillId="0" borderId="15" xfId="33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49" fontId="12" fillId="0" borderId="14" xfId="33" applyNumberFormat="1" applyFont="1" applyBorder="1" applyAlignment="1">
      <alignment/>
    </xf>
    <xf numFmtId="43" fontId="13" fillId="0" borderId="10" xfId="33" applyFont="1" applyBorder="1" applyAlignment="1">
      <alignment/>
    </xf>
    <xf numFmtId="43" fontId="13" fillId="33" borderId="10" xfId="33" applyFont="1" applyFill="1" applyBorder="1" applyAlignment="1">
      <alignment/>
    </xf>
    <xf numFmtId="43" fontId="13" fillId="0" borderId="10" xfId="33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49" fontId="12" fillId="0" borderId="10" xfId="33" applyNumberFormat="1" applyFont="1" applyFill="1" applyBorder="1" applyAlignment="1">
      <alignment/>
    </xf>
    <xf numFmtId="49" fontId="12" fillId="0" borderId="10" xfId="33" applyNumberFormat="1" applyFont="1" applyFill="1" applyBorder="1" applyAlignment="1">
      <alignment horizontal="center"/>
    </xf>
    <xf numFmtId="202" fontId="13" fillId="0" borderId="10" xfId="33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43" fontId="4" fillId="0" borderId="24" xfId="33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4" fillId="0" borderId="10" xfId="0" applyFont="1" applyBorder="1" applyAlignment="1" quotePrefix="1">
      <alignment horizontal="center"/>
    </xf>
    <xf numFmtId="43" fontId="7" fillId="0" borderId="26" xfId="33" applyFont="1" applyFill="1" applyBorder="1" applyAlignment="1">
      <alignment horizontal="center"/>
    </xf>
    <xf numFmtId="43" fontId="4" fillId="0" borderId="26" xfId="33" applyFont="1" applyFill="1" applyBorder="1" applyAlignment="1">
      <alignment horizontal="center"/>
    </xf>
    <xf numFmtId="43" fontId="4" fillId="0" borderId="10" xfId="33" applyNumberFormat="1" applyFont="1" applyFill="1" applyBorder="1" applyAlignment="1">
      <alignment horizontal="center"/>
    </xf>
    <xf numFmtId="202" fontId="7" fillId="0" borderId="16" xfId="33" applyNumberFormat="1" applyFont="1" applyFill="1" applyBorder="1" applyAlignment="1">
      <alignment/>
    </xf>
    <xf numFmtId="43" fontId="4" fillId="0" borderId="23" xfId="33" applyFont="1" applyFill="1" applyBorder="1" applyAlignment="1">
      <alignment/>
    </xf>
    <xf numFmtId="43" fontId="4" fillId="0" borderId="17" xfId="0" applyNumberFormat="1" applyFont="1" applyFill="1" applyBorder="1" applyAlignment="1">
      <alignment horizontal="center"/>
    </xf>
    <xf numFmtId="214" fontId="4" fillId="0" borderId="10" xfId="33" applyNumberFormat="1" applyFont="1" applyFill="1" applyBorder="1" applyAlignment="1">
      <alignment horizontal="right" vertical="center"/>
    </xf>
    <xf numFmtId="43" fontId="4" fillId="0" borderId="10" xfId="33" applyFont="1" applyBorder="1" applyAlignment="1" quotePrefix="1">
      <alignment horizontal="center"/>
    </xf>
    <xf numFmtId="214" fontId="7" fillId="0" borderId="11" xfId="0" applyNumberFormat="1" applyFont="1" applyFill="1" applyBorder="1" applyAlignment="1">
      <alignment horizontal="center"/>
    </xf>
    <xf numFmtId="43" fontId="7" fillId="0" borderId="14" xfId="33" applyFont="1" applyFill="1" applyBorder="1" applyAlignment="1">
      <alignment wrapText="1"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43" fontId="4" fillId="0" borderId="10" xfId="33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3" fontId="7" fillId="0" borderId="10" xfId="33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43" fontId="7" fillId="0" borderId="0" xfId="0" applyNumberFormat="1" applyFont="1" applyFill="1" applyBorder="1" applyAlignment="1">
      <alignment horizontal="left"/>
    </xf>
    <xf numFmtId="43" fontId="7" fillId="0" borderId="0" xfId="0" applyNumberFormat="1" applyFont="1" applyBorder="1" applyAlignment="1">
      <alignment/>
    </xf>
    <xf numFmtId="43" fontId="23" fillId="0" borderId="0" xfId="0" applyNumberFormat="1" applyFont="1" applyAlignment="1">
      <alignment/>
    </xf>
    <xf numFmtId="202" fontId="0" fillId="0" borderId="0" xfId="0" applyNumberFormat="1" applyFont="1" applyFill="1" applyAlignment="1">
      <alignment/>
    </xf>
    <xf numFmtId="0" fontId="17" fillId="0" borderId="10" xfId="0" applyFont="1" applyBorder="1" applyAlignment="1">
      <alignment/>
    </xf>
    <xf numFmtId="0" fontId="24" fillId="0" borderId="17" xfId="0" applyFont="1" applyFill="1" applyBorder="1" applyAlignment="1">
      <alignment horizontal="left"/>
    </xf>
    <xf numFmtId="202" fontId="7" fillId="0" borderId="0" xfId="33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43" fontId="7" fillId="0" borderId="0" xfId="33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3" fontId="0" fillId="0" borderId="0" xfId="0" applyNumberFormat="1" applyFont="1" applyAlignment="1">
      <alignment/>
    </xf>
    <xf numFmtId="43" fontId="27" fillId="0" borderId="12" xfId="33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3" fontId="19" fillId="0" borderId="14" xfId="33" applyFont="1" applyFill="1" applyBorder="1" applyAlignment="1">
      <alignment horizontal="center"/>
    </xf>
    <xf numFmtId="214" fontId="28" fillId="0" borderId="14" xfId="33" applyNumberFormat="1" applyFont="1" applyFill="1" applyBorder="1" applyAlignment="1">
      <alignment horizontal="center" vertical="center"/>
    </xf>
    <xf numFmtId="214" fontId="28" fillId="0" borderId="17" xfId="33" applyNumberFormat="1" applyFont="1" applyFill="1" applyBorder="1" applyAlignment="1">
      <alignment horizontal="center" vertical="center"/>
    </xf>
    <xf numFmtId="43" fontId="4" fillId="0" borderId="16" xfId="33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25" fillId="0" borderId="0" xfId="0" applyNumberFormat="1" applyFont="1" applyFill="1" applyBorder="1" applyAlignment="1">
      <alignment/>
    </xf>
    <xf numFmtId="43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0" fillId="0" borderId="0" xfId="0" applyNumberFormat="1" applyFont="1" applyFill="1" applyBorder="1" applyAlignment="1">
      <alignment/>
    </xf>
    <xf numFmtId="43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02" fontId="7" fillId="0" borderId="15" xfId="33" applyNumberFormat="1" applyFont="1" applyFill="1" applyBorder="1" applyAlignment="1">
      <alignment/>
    </xf>
    <xf numFmtId="0" fontId="22" fillId="0" borderId="0" xfId="0" applyFont="1" applyFill="1" applyAlignment="1">
      <alignment/>
    </xf>
    <xf numFmtId="202" fontId="4" fillId="0" borderId="17" xfId="33" applyNumberFormat="1" applyFont="1" applyFill="1" applyBorder="1" applyAlignment="1">
      <alignment/>
    </xf>
    <xf numFmtId="202" fontId="4" fillId="33" borderId="10" xfId="33" applyNumberFormat="1" applyFont="1" applyFill="1" applyBorder="1" applyAlignment="1">
      <alignment horizontal="center"/>
    </xf>
    <xf numFmtId="43" fontId="4" fillId="33" borderId="10" xfId="33" applyFont="1" applyFill="1" applyBorder="1" applyAlignment="1">
      <alignment/>
    </xf>
    <xf numFmtId="43" fontId="7" fillId="33" borderId="16" xfId="33" applyFont="1" applyFill="1" applyBorder="1" applyAlignment="1">
      <alignment/>
    </xf>
    <xf numFmtId="43" fontId="4" fillId="0" borderId="17" xfId="33" applyFont="1" applyBorder="1" applyAlignment="1">
      <alignment/>
    </xf>
    <xf numFmtId="214" fontId="4" fillId="0" borderId="17" xfId="33" applyNumberFormat="1" applyFont="1" applyFill="1" applyBorder="1" applyAlignment="1">
      <alignment/>
    </xf>
    <xf numFmtId="202" fontId="4" fillId="33" borderId="17" xfId="33" applyNumberFormat="1" applyFont="1" applyFill="1" applyBorder="1" applyAlignment="1">
      <alignment horizontal="center"/>
    </xf>
    <xf numFmtId="43" fontId="7" fillId="33" borderId="11" xfId="33" applyFont="1" applyFill="1" applyBorder="1" applyAlignment="1">
      <alignment/>
    </xf>
    <xf numFmtId="43" fontId="7" fillId="0" borderId="17" xfId="33" applyFont="1" applyBorder="1" applyAlignment="1">
      <alignment/>
    </xf>
    <xf numFmtId="43" fontId="7" fillId="33" borderId="12" xfId="33" applyFont="1" applyFill="1" applyBorder="1" applyAlignment="1">
      <alignment/>
    </xf>
    <xf numFmtId="0" fontId="4" fillId="0" borderId="14" xfId="0" applyFont="1" applyBorder="1" applyAlignment="1">
      <alignment horizontal="center"/>
    </xf>
    <xf numFmtId="43" fontId="7" fillId="33" borderId="14" xfId="33" applyFont="1" applyFill="1" applyBorder="1" applyAlignment="1">
      <alignment/>
    </xf>
    <xf numFmtId="49" fontId="4" fillId="0" borderId="10" xfId="33" applyNumberFormat="1" applyFont="1" applyFill="1" applyBorder="1" applyAlignment="1">
      <alignment horizontal="center" vertical="center"/>
    </xf>
    <xf numFmtId="43" fontId="7" fillId="33" borderId="0" xfId="33" applyFont="1" applyFill="1" applyBorder="1" applyAlignment="1">
      <alignment/>
    </xf>
    <xf numFmtId="0" fontId="4" fillId="0" borderId="0" xfId="0" applyFont="1" applyBorder="1" applyAlignment="1">
      <alignment horizontal="center"/>
    </xf>
    <xf numFmtId="43" fontId="4" fillId="33" borderId="0" xfId="33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3" fontId="17" fillId="0" borderId="10" xfId="0" applyNumberFormat="1" applyFont="1" applyFill="1" applyBorder="1" applyAlignment="1">
      <alignment horizontal="left"/>
    </xf>
    <xf numFmtId="43" fontId="4" fillId="0" borderId="14" xfId="0" applyNumberFormat="1" applyFont="1" applyFill="1" applyBorder="1" applyAlignment="1">
      <alignment/>
    </xf>
    <xf numFmtId="43" fontId="7" fillId="0" borderId="13" xfId="33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43" fontId="0" fillId="0" borderId="0" xfId="33" applyFont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02" fontId="4" fillId="0" borderId="13" xfId="33" applyNumberFormat="1" applyFont="1" applyFill="1" applyBorder="1" applyAlignment="1">
      <alignment horizontal="center"/>
    </xf>
    <xf numFmtId="202" fontId="7" fillId="0" borderId="11" xfId="33" applyNumberFormat="1" applyFont="1" applyBorder="1" applyAlignment="1">
      <alignment/>
    </xf>
    <xf numFmtId="202" fontId="7" fillId="0" borderId="12" xfId="33" applyNumberFormat="1" applyFont="1" applyBorder="1" applyAlignment="1">
      <alignment/>
    </xf>
    <xf numFmtId="202" fontId="4" fillId="0" borderId="11" xfId="33" applyNumberFormat="1" applyFont="1" applyFill="1" applyBorder="1" applyAlignment="1">
      <alignment/>
    </xf>
    <xf numFmtId="202" fontId="4" fillId="0" borderId="10" xfId="33" applyNumberFormat="1" applyFont="1" applyFill="1" applyBorder="1" applyAlignment="1">
      <alignment/>
    </xf>
    <xf numFmtId="202" fontId="4" fillId="0" borderId="17" xfId="33" applyNumberFormat="1" applyFont="1" applyFill="1" applyBorder="1" applyAlignment="1">
      <alignment horizontal="center"/>
    </xf>
    <xf numFmtId="202" fontId="7" fillId="0" borderId="17" xfId="33" applyNumberFormat="1" applyFont="1" applyBorder="1" applyAlignment="1">
      <alignment/>
    </xf>
    <xf numFmtId="0" fontId="4" fillId="0" borderId="0" xfId="0" applyFont="1" applyFill="1" applyAlignment="1">
      <alignment/>
    </xf>
    <xf numFmtId="202" fontId="4" fillId="0" borderId="10" xfId="33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43" fontId="27" fillId="0" borderId="11" xfId="33" applyFon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202" fontId="4" fillId="33" borderId="14" xfId="33" applyNumberFormat="1" applyFont="1" applyFill="1" applyBorder="1" applyAlignment="1">
      <alignment/>
    </xf>
    <xf numFmtId="202" fontId="7" fillId="33" borderId="11" xfId="33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202" fontId="7" fillId="0" borderId="16" xfId="33" applyNumberFormat="1" applyFont="1" applyBorder="1" applyAlignment="1">
      <alignment/>
    </xf>
    <xf numFmtId="43" fontId="7" fillId="0" borderId="21" xfId="33" applyFont="1" applyBorder="1" applyAlignment="1">
      <alignment/>
    </xf>
    <xf numFmtId="43" fontId="4" fillId="0" borderId="22" xfId="33" applyFont="1" applyFill="1" applyBorder="1" applyAlignment="1">
      <alignment/>
    </xf>
    <xf numFmtId="43" fontId="4" fillId="0" borderId="10" xfId="33" applyNumberFormat="1" applyFont="1" applyBorder="1" applyAlignment="1">
      <alignment horizontal="center"/>
    </xf>
    <xf numFmtId="202" fontId="4" fillId="0" borderId="10" xfId="33" applyNumberFormat="1" applyFont="1" applyBorder="1" applyAlignment="1">
      <alignment horizontal="center"/>
    </xf>
    <xf numFmtId="202" fontId="7" fillId="33" borderId="10" xfId="33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43" fontId="7" fillId="0" borderId="11" xfId="33" applyNumberFormat="1" applyFont="1" applyBorder="1" applyAlignment="1">
      <alignment/>
    </xf>
    <xf numFmtId="0" fontId="7" fillId="0" borderId="2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214" fontId="4" fillId="0" borderId="14" xfId="33" applyNumberFormat="1" applyFont="1" applyFill="1" applyBorder="1" applyAlignment="1">
      <alignment/>
    </xf>
    <xf numFmtId="43" fontId="7" fillId="0" borderId="13" xfId="0" applyNumberFormat="1" applyFont="1" applyFill="1" applyBorder="1" applyAlignment="1">
      <alignment horizontal="center"/>
    </xf>
    <xf numFmtId="43" fontId="4" fillId="0" borderId="15" xfId="33" applyNumberFormat="1" applyFont="1" applyFill="1" applyBorder="1" applyAlignment="1">
      <alignment/>
    </xf>
    <xf numFmtId="43" fontId="7" fillId="33" borderId="10" xfId="33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3" fontId="4" fillId="0" borderId="25" xfId="0" applyNumberFormat="1" applyFont="1" applyFill="1" applyBorder="1" applyAlignment="1">
      <alignment/>
    </xf>
    <xf numFmtId="43" fontId="4" fillId="0" borderId="29" xfId="0" applyNumberFormat="1" applyFont="1" applyFill="1" applyBorder="1" applyAlignment="1">
      <alignment/>
    </xf>
    <xf numFmtId="43" fontId="4" fillId="0" borderId="23" xfId="33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0" borderId="14" xfId="33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43" fontId="4" fillId="0" borderId="0" xfId="33" applyFont="1" applyBorder="1" applyAlignment="1">
      <alignment horizontal="center"/>
    </xf>
    <xf numFmtId="43" fontId="31" fillId="0" borderId="0" xfId="0" applyNumberFormat="1" applyFont="1" applyBorder="1" applyAlignment="1">
      <alignment/>
    </xf>
    <xf numFmtId="43" fontId="5" fillId="0" borderId="0" xfId="33" applyFont="1" applyBorder="1" applyAlignment="1">
      <alignment/>
    </xf>
    <xf numFmtId="43" fontId="23" fillId="0" borderId="0" xfId="33" applyFont="1" applyBorder="1" applyAlignment="1">
      <alignment/>
    </xf>
    <xf numFmtId="43" fontId="25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43" fontId="31" fillId="0" borderId="0" xfId="33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4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43" fontId="32" fillId="0" borderId="0" xfId="33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3" fontId="2" fillId="0" borderId="14" xfId="33" applyFont="1" applyFill="1" applyBorder="1" applyAlignment="1">
      <alignment/>
    </xf>
    <xf numFmtId="43" fontId="20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23" fillId="0" borderId="26" xfId="33" applyNumberFormat="1" applyFont="1" applyFill="1" applyBorder="1" applyAlignment="1">
      <alignment/>
    </xf>
    <xf numFmtId="43" fontId="3" fillId="0" borderId="11" xfId="33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19" fillId="0" borderId="1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43" fontId="0" fillId="0" borderId="0" xfId="47" applyNumberFormat="1" applyFont="1" applyBorder="1">
      <alignment/>
      <protection/>
    </xf>
    <xf numFmtId="43" fontId="0" fillId="0" borderId="0" xfId="33" applyFont="1" applyBorder="1" applyAlignment="1">
      <alignment/>
    </xf>
    <xf numFmtId="43" fontId="4" fillId="0" borderId="14" xfId="0" applyNumberFormat="1" applyFont="1" applyFill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" fillId="0" borderId="21" xfId="33" applyFont="1" applyFill="1" applyBorder="1" applyAlignment="1">
      <alignment/>
    </xf>
    <xf numFmtId="0" fontId="81" fillId="0" borderId="10" xfId="0" applyFont="1" applyBorder="1" applyAlignment="1">
      <alignment/>
    </xf>
    <xf numFmtId="43" fontId="80" fillId="33" borderId="10" xfId="33" applyFont="1" applyFill="1" applyBorder="1" applyAlignment="1">
      <alignment/>
    </xf>
    <xf numFmtId="43" fontId="82" fillId="0" borderId="11" xfId="33" applyFont="1" applyFill="1" applyBorder="1" applyAlignment="1">
      <alignment horizontal="center"/>
    </xf>
    <xf numFmtId="43" fontId="80" fillId="0" borderId="10" xfId="33" applyNumberFormat="1" applyFont="1" applyBorder="1" applyAlignment="1">
      <alignment/>
    </xf>
    <xf numFmtId="43" fontId="82" fillId="0" borderId="11" xfId="33" applyFont="1" applyFill="1" applyBorder="1" applyAlignment="1">
      <alignment/>
    </xf>
    <xf numFmtId="43" fontId="82" fillId="0" borderId="10" xfId="33" applyFont="1" applyFill="1" applyBorder="1" applyAlignment="1">
      <alignment/>
    </xf>
    <xf numFmtId="43" fontId="80" fillId="0" borderId="0" xfId="0" applyNumberFormat="1" applyFont="1" applyAlignment="1">
      <alignment/>
    </xf>
    <xf numFmtId="0" fontId="80" fillId="0" borderId="10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43" fontId="80" fillId="0" borderId="11" xfId="33" applyFont="1" applyBorder="1" applyAlignment="1">
      <alignment/>
    </xf>
    <xf numFmtId="43" fontId="80" fillId="33" borderId="11" xfId="33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202" fontId="80" fillId="33" borderId="10" xfId="33" applyNumberFormat="1" applyFont="1" applyFill="1" applyBorder="1" applyAlignment="1">
      <alignment/>
    </xf>
    <xf numFmtId="43" fontId="80" fillId="0" borderId="10" xfId="33" applyFont="1" applyBorder="1" applyAlignment="1">
      <alignment/>
    </xf>
    <xf numFmtId="43" fontId="82" fillId="0" borderId="11" xfId="33" applyFont="1" applyBorder="1" applyAlignment="1">
      <alignment horizontal="center"/>
    </xf>
    <xf numFmtId="43" fontId="80" fillId="0" borderId="10" xfId="33" applyFont="1" applyFill="1" applyBorder="1" applyAlignment="1">
      <alignment horizontal="center"/>
    </xf>
    <xf numFmtId="43" fontId="80" fillId="0" borderId="10" xfId="33" applyFont="1" applyFill="1" applyBorder="1" applyAlignment="1">
      <alignment/>
    </xf>
    <xf numFmtId="0" fontId="84" fillId="0" borderId="0" xfId="0" applyFont="1" applyFill="1" applyAlignment="1">
      <alignment/>
    </xf>
    <xf numFmtId="43" fontId="80" fillId="0" borderId="13" xfId="33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0" fontId="82" fillId="0" borderId="10" xfId="0" applyFont="1" applyBorder="1" applyAlignment="1" quotePrefix="1">
      <alignment horizontal="center"/>
    </xf>
    <xf numFmtId="0" fontId="82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43" fontId="84" fillId="0" borderId="0" xfId="0" applyNumberFormat="1" applyFont="1" applyFill="1" applyAlignment="1">
      <alignment/>
    </xf>
    <xf numFmtId="0" fontId="82" fillId="0" borderId="10" xfId="0" applyFont="1" applyFill="1" applyBorder="1" applyAlignment="1">
      <alignment/>
    </xf>
    <xf numFmtId="43" fontId="82" fillId="0" borderId="10" xfId="33" applyFont="1" applyBorder="1" applyAlignment="1" quotePrefix="1">
      <alignment horizontal="center"/>
    </xf>
    <xf numFmtId="43" fontId="80" fillId="0" borderId="14" xfId="33" applyFont="1" applyFill="1" applyBorder="1" applyAlignment="1">
      <alignment horizontal="center"/>
    </xf>
    <xf numFmtId="43" fontId="82" fillId="0" borderId="10" xfId="33" applyFont="1" applyFill="1" applyBorder="1" applyAlignment="1">
      <alignment horizontal="center"/>
    </xf>
    <xf numFmtId="43" fontId="82" fillId="0" borderId="17" xfId="33" applyFont="1" applyFill="1" applyBorder="1" applyAlignment="1">
      <alignment horizontal="center"/>
    </xf>
    <xf numFmtId="43" fontId="80" fillId="0" borderId="16" xfId="33" applyFont="1" applyFill="1" applyBorder="1" applyAlignment="1">
      <alignment/>
    </xf>
    <xf numFmtId="43" fontId="86" fillId="0" borderId="16" xfId="33" applyFont="1" applyFill="1" applyBorder="1" applyAlignment="1">
      <alignment/>
    </xf>
    <xf numFmtId="0" fontId="80" fillId="0" borderId="0" xfId="0" applyFont="1" applyFill="1" applyAlignment="1">
      <alignment/>
    </xf>
    <xf numFmtId="0" fontId="87" fillId="0" borderId="10" xfId="0" applyFont="1" applyBorder="1" applyAlignment="1">
      <alignment/>
    </xf>
    <xf numFmtId="0" fontId="88" fillId="0" borderId="11" xfId="0" applyFont="1" applyFill="1" applyBorder="1" applyAlignment="1">
      <alignment horizontal="center" wrapText="1"/>
    </xf>
    <xf numFmtId="43" fontId="86" fillId="0" borderId="21" xfId="33" applyFont="1" applyFill="1" applyBorder="1" applyAlignment="1">
      <alignment/>
    </xf>
    <xf numFmtId="0" fontId="80" fillId="0" borderId="29" xfId="0" applyFont="1" applyFill="1" applyBorder="1" applyAlignment="1">
      <alignment/>
    </xf>
    <xf numFmtId="43" fontId="86" fillId="0" borderId="14" xfId="33" applyFont="1" applyFill="1" applyBorder="1" applyAlignment="1">
      <alignment/>
    </xf>
    <xf numFmtId="43" fontId="86" fillId="0" borderId="10" xfId="33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2" fillId="0" borderId="10" xfId="0" applyFont="1" applyFill="1" applyBorder="1" applyAlignment="1">
      <alignment horizontal="left" vertical="center" wrapText="1"/>
    </xf>
    <xf numFmtId="43" fontId="80" fillId="33" borderId="17" xfId="33" applyFont="1" applyFill="1" applyBorder="1" applyAlignment="1">
      <alignment/>
    </xf>
    <xf numFmtId="43" fontId="80" fillId="0" borderId="0" xfId="0" applyNumberFormat="1" applyFont="1" applyFill="1" applyAlignment="1">
      <alignment/>
    </xf>
    <xf numFmtId="0" fontId="87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0" fillId="0" borderId="11" xfId="0" applyFont="1" applyFill="1" applyBorder="1" applyAlignment="1">
      <alignment horizontal="left" wrapText="1"/>
    </xf>
    <xf numFmtId="49" fontId="82" fillId="0" borderId="11" xfId="33" applyNumberFormat="1" applyFont="1" applyFill="1" applyBorder="1" applyAlignment="1">
      <alignment horizontal="center" wrapText="1"/>
    </xf>
    <xf numFmtId="43" fontId="88" fillId="0" borderId="12" xfId="33" applyFont="1" applyFill="1" applyBorder="1" applyAlignment="1">
      <alignment horizontal="center"/>
    </xf>
    <xf numFmtId="43" fontId="81" fillId="0" borderId="10" xfId="33" applyFont="1" applyFill="1" applyBorder="1" applyAlignment="1">
      <alignment/>
    </xf>
    <xf numFmtId="43" fontId="80" fillId="0" borderId="0" xfId="33" applyFont="1" applyBorder="1" applyAlignment="1">
      <alignment/>
    </xf>
    <xf numFmtId="43" fontId="82" fillId="0" borderId="0" xfId="0" applyNumberFormat="1" applyFont="1" applyFill="1" applyBorder="1" applyAlignment="1">
      <alignment/>
    </xf>
    <xf numFmtId="43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202" fontId="89" fillId="0" borderId="0" xfId="33" applyNumberFormat="1" applyFont="1" applyFill="1" applyBorder="1" applyAlignment="1">
      <alignment/>
    </xf>
    <xf numFmtId="43" fontId="84" fillId="0" borderId="0" xfId="33" applyFont="1" applyFill="1" applyAlignment="1">
      <alignment/>
    </xf>
    <xf numFmtId="43" fontId="4" fillId="0" borderId="17" xfId="33" applyFont="1" applyFill="1" applyBorder="1" applyAlignment="1">
      <alignment horizontal="left"/>
    </xf>
    <xf numFmtId="43" fontId="4" fillId="33" borderId="17" xfId="33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7" xfId="33" applyFont="1" applyBorder="1" applyAlignment="1">
      <alignment horizontal="center"/>
    </xf>
    <xf numFmtId="214" fontId="4" fillId="0" borderId="17" xfId="33" applyNumberFormat="1" applyFont="1" applyFill="1" applyBorder="1" applyAlignment="1">
      <alignment horizontal="center" vertical="center"/>
    </xf>
    <xf numFmtId="214" fontId="4" fillId="0" borderId="17" xfId="33" applyNumberFormat="1" applyFont="1" applyFill="1" applyBorder="1" applyAlignment="1">
      <alignment horizontal="center"/>
    </xf>
    <xf numFmtId="43" fontId="4" fillId="33" borderId="10" xfId="33" applyNumberFormat="1" applyFont="1" applyFill="1" applyBorder="1" applyAlignment="1">
      <alignment horizontal="center"/>
    </xf>
    <xf numFmtId="43" fontId="7" fillId="33" borderId="16" xfId="33" applyNumberFormat="1" applyFont="1" applyFill="1" applyBorder="1" applyAlignment="1">
      <alignment/>
    </xf>
    <xf numFmtId="43" fontId="4" fillId="0" borderId="1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14" fontId="2" fillId="0" borderId="17" xfId="33" applyNumberFormat="1" applyFont="1" applyFill="1" applyBorder="1" applyAlignment="1">
      <alignment horizontal="center"/>
    </xf>
    <xf numFmtId="214" fontId="2" fillId="0" borderId="17" xfId="33" applyNumberFormat="1" applyFont="1" applyFill="1" applyBorder="1" applyAlignment="1">
      <alignment horizontal="center" vertical="center" wrapText="1"/>
    </xf>
    <xf numFmtId="214" fontId="2" fillId="0" borderId="17" xfId="33" applyNumberFormat="1" applyFont="1" applyFill="1" applyBorder="1" applyAlignment="1">
      <alignment horizontal="center" vertical="center"/>
    </xf>
    <xf numFmtId="43" fontId="6" fillId="0" borderId="17" xfId="33" applyFont="1" applyFill="1" applyBorder="1" applyAlignment="1">
      <alignment horizontal="center"/>
    </xf>
    <xf numFmtId="214" fontId="6" fillId="0" borderId="17" xfId="33" applyNumberFormat="1" applyFont="1" applyFill="1" applyBorder="1" applyAlignment="1">
      <alignment horizontal="right" vertical="center"/>
    </xf>
    <xf numFmtId="214" fontId="2" fillId="0" borderId="17" xfId="33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3" fontId="0" fillId="0" borderId="10" xfId="33" applyNumberFormat="1" applyFont="1" applyFill="1" applyBorder="1" applyAlignment="1">
      <alignment horizontal="center"/>
    </xf>
    <xf numFmtId="43" fontId="0" fillId="33" borderId="10" xfId="33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1" fillId="33" borderId="10" xfId="33" applyNumberFormat="1" applyFont="1" applyFill="1" applyBorder="1" applyAlignment="1">
      <alignment horizontal="center"/>
    </xf>
    <xf numFmtId="43" fontId="1" fillId="0" borderId="15" xfId="33" applyFont="1" applyFill="1" applyBorder="1" applyAlignment="1">
      <alignment/>
    </xf>
    <xf numFmtId="0" fontId="33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0" fillId="33" borderId="16" xfId="33" applyNumberFormat="1" applyFont="1" applyFill="1" applyBorder="1" applyAlignment="1">
      <alignment/>
    </xf>
    <xf numFmtId="0" fontId="33" fillId="0" borderId="13" xfId="0" applyFont="1" applyBorder="1" applyAlignment="1">
      <alignment horizontal="left"/>
    </xf>
    <xf numFmtId="43" fontId="1" fillId="0" borderId="27" xfId="33" applyFont="1" applyFill="1" applyBorder="1" applyAlignment="1">
      <alignment/>
    </xf>
    <xf numFmtId="43" fontId="1" fillId="0" borderId="11" xfId="33" applyFont="1" applyFill="1" applyBorder="1" applyAlignment="1">
      <alignment/>
    </xf>
    <xf numFmtId="43" fontId="1" fillId="0" borderId="17" xfId="33" applyFont="1" applyFill="1" applyBorder="1" applyAlignment="1">
      <alignment horizontal="center"/>
    </xf>
    <xf numFmtId="43" fontId="1" fillId="0" borderId="22" xfId="33" applyFont="1" applyFill="1" applyBorder="1" applyAlignment="1">
      <alignment/>
    </xf>
    <xf numFmtId="43" fontId="0" fillId="33" borderId="10" xfId="33" applyFont="1" applyFill="1" applyBorder="1" applyAlignment="1">
      <alignment/>
    </xf>
    <xf numFmtId="43" fontId="0" fillId="0" borderId="17" xfId="33" applyFont="1" applyFill="1" applyBorder="1" applyAlignment="1">
      <alignment horizontal="center"/>
    </xf>
    <xf numFmtId="43" fontId="1" fillId="33" borderId="17" xfId="33" applyFont="1" applyFill="1" applyBorder="1" applyAlignment="1">
      <alignment horizontal="center"/>
    </xf>
    <xf numFmtId="43" fontId="0" fillId="0" borderId="10" xfId="33" applyFont="1" applyFill="1" applyBorder="1" applyAlignment="1">
      <alignment horizontal="center"/>
    </xf>
    <xf numFmtId="0" fontId="8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14" fontId="1" fillId="0" borderId="17" xfId="33" applyNumberFormat="1" applyFont="1" applyFill="1" applyBorder="1" applyAlignment="1">
      <alignment/>
    </xf>
    <xf numFmtId="43" fontId="1" fillId="0" borderId="17" xfId="33" applyFont="1" applyFill="1" applyBorder="1" applyAlignment="1">
      <alignment horizontal="left"/>
    </xf>
    <xf numFmtId="0" fontId="33" fillId="0" borderId="11" xfId="0" applyFont="1" applyBorder="1" applyAlignment="1">
      <alignment/>
    </xf>
    <xf numFmtId="43" fontId="1" fillId="0" borderId="17" xfId="33" applyFont="1" applyBorder="1" applyAlignment="1">
      <alignment/>
    </xf>
    <xf numFmtId="0" fontId="1" fillId="0" borderId="10" xfId="0" applyFont="1" applyBorder="1" applyAlignment="1">
      <alignment horizontal="center"/>
    </xf>
    <xf numFmtId="43" fontId="0" fillId="0" borderId="15" xfId="33" applyFont="1" applyBorder="1" applyAlignment="1">
      <alignment/>
    </xf>
    <xf numFmtId="214" fontId="1" fillId="0" borderId="17" xfId="33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1" fillId="0" borderId="17" xfId="33" applyFont="1" applyBorder="1" applyAlignment="1">
      <alignment horizontal="center"/>
    </xf>
    <xf numFmtId="43" fontId="0" fillId="0" borderId="17" xfId="33" applyFont="1" applyBorder="1" applyAlignment="1">
      <alignment/>
    </xf>
    <xf numFmtId="43" fontId="1" fillId="0" borderId="15" xfId="33" applyFont="1" applyFill="1" applyBorder="1" applyAlignment="1">
      <alignment horizontal="center"/>
    </xf>
    <xf numFmtId="43" fontId="1" fillId="0" borderId="25" xfId="0" applyNumberFormat="1" applyFont="1" applyFill="1" applyBorder="1" applyAlignment="1">
      <alignment/>
    </xf>
    <xf numFmtId="43" fontId="1" fillId="0" borderId="24" xfId="33" applyFont="1" applyFill="1" applyBorder="1" applyAlignment="1">
      <alignment/>
    </xf>
    <xf numFmtId="0" fontId="33" fillId="0" borderId="0" xfId="0" applyFont="1" applyBorder="1" applyAlignment="1">
      <alignment/>
    </xf>
    <xf numFmtId="43" fontId="0" fillId="33" borderId="0" xfId="33" applyFont="1" applyFill="1" applyBorder="1" applyAlignment="1">
      <alignment/>
    </xf>
    <xf numFmtId="43" fontId="1" fillId="0" borderId="0" xfId="33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33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33" borderId="0" xfId="33" applyFont="1" applyFill="1" applyBorder="1" applyAlignment="1">
      <alignment horizontal="right"/>
    </xf>
    <xf numFmtId="0" fontId="1" fillId="0" borderId="0" xfId="0" applyFont="1" applyFill="1" applyAlignment="1">
      <alignment/>
    </xf>
    <xf numFmtId="43" fontId="1" fillId="33" borderId="15" xfId="33" applyNumberFormat="1" applyFont="1" applyFill="1" applyBorder="1" applyAlignment="1">
      <alignment horizontal="center"/>
    </xf>
    <xf numFmtId="214" fontId="1" fillId="0" borderId="27" xfId="33" applyNumberFormat="1" applyFont="1" applyFill="1" applyBorder="1" applyAlignment="1">
      <alignment horizontal="center" vertical="center"/>
    </xf>
    <xf numFmtId="43" fontId="0" fillId="33" borderId="13" xfId="33" applyFont="1" applyFill="1" applyBorder="1" applyAlignment="1">
      <alignment/>
    </xf>
    <xf numFmtId="43" fontId="1" fillId="0" borderId="31" xfId="0" applyNumberFormat="1" applyFont="1" applyBorder="1" applyAlignment="1">
      <alignment horizontal="center"/>
    </xf>
    <xf numFmtId="43" fontId="7" fillId="0" borderId="11" xfId="33" applyNumberFormat="1" applyFont="1" applyFill="1" applyBorder="1" applyAlignment="1">
      <alignment horizontal="center"/>
    </xf>
    <xf numFmtId="43" fontId="0" fillId="0" borderId="15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14" fontId="4" fillId="0" borderId="12" xfId="33" applyNumberFormat="1" applyFont="1" applyFill="1" applyBorder="1" applyAlignment="1">
      <alignment horizontal="center" vertical="center"/>
    </xf>
    <xf numFmtId="43" fontId="4" fillId="0" borderId="26" xfId="33" applyNumberFormat="1" applyFont="1" applyFill="1" applyBorder="1" applyAlignment="1">
      <alignment horizontal="center"/>
    </xf>
    <xf numFmtId="43" fontId="1" fillId="0" borderId="10" xfId="33" applyFont="1" applyFill="1" applyBorder="1" applyAlignment="1">
      <alignment horizontal="center"/>
    </xf>
    <xf numFmtId="43" fontId="0" fillId="0" borderId="10" xfId="33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3" fontId="1" fillId="0" borderId="15" xfId="33" applyNumberFormat="1" applyFont="1" applyFill="1" applyBorder="1" applyAlignment="1">
      <alignment horizontal="center"/>
    </xf>
    <xf numFmtId="43" fontId="0" fillId="0" borderId="15" xfId="33" applyFont="1" applyFill="1" applyBorder="1" applyAlignment="1">
      <alignment/>
    </xf>
    <xf numFmtId="0" fontId="33" fillId="0" borderId="10" xfId="0" applyFont="1" applyFill="1" applyBorder="1" applyAlignment="1">
      <alignment/>
    </xf>
    <xf numFmtId="43" fontId="1" fillId="0" borderId="11" xfId="33" applyFont="1" applyFill="1" applyBorder="1" applyAlignment="1">
      <alignment horizontal="center"/>
    </xf>
    <xf numFmtId="214" fontId="1" fillId="0" borderId="17" xfId="33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08" fontId="0" fillId="0" borderId="10" xfId="33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11" xfId="33" applyNumberFormat="1" applyFont="1" applyFill="1" applyBorder="1" applyAlignment="1">
      <alignment horizontal="center"/>
    </xf>
    <xf numFmtId="43" fontId="1" fillId="0" borderId="10" xfId="33" applyNumberFormat="1" applyFont="1" applyFill="1" applyBorder="1" applyAlignment="1">
      <alignment horizontal="center"/>
    </xf>
    <xf numFmtId="43" fontId="1" fillId="0" borderId="26" xfId="33" applyNumberFormat="1" applyFont="1" applyFill="1" applyBorder="1" applyAlignment="1">
      <alignment horizontal="center"/>
    </xf>
    <xf numFmtId="214" fontId="1" fillId="0" borderId="12" xfId="33" applyNumberFormat="1" applyFont="1" applyFill="1" applyBorder="1" applyAlignment="1">
      <alignment horizontal="center" vertical="center"/>
    </xf>
    <xf numFmtId="43" fontId="1" fillId="0" borderId="26" xfId="33" applyFont="1" applyFill="1" applyBorder="1" applyAlignment="1">
      <alignment horizontal="center"/>
    </xf>
    <xf numFmtId="43" fontId="0" fillId="0" borderId="26" xfId="33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/>
    </xf>
    <xf numFmtId="214" fontId="2" fillId="0" borderId="12" xfId="33" applyNumberFormat="1" applyFont="1" applyFill="1" applyBorder="1" applyAlignment="1">
      <alignment horizontal="center" vertical="center"/>
    </xf>
    <xf numFmtId="43" fontId="7" fillId="0" borderId="15" xfId="33" applyNumberFormat="1" applyFont="1" applyFill="1" applyBorder="1" applyAlignment="1">
      <alignment horizontal="center"/>
    </xf>
    <xf numFmtId="214" fontId="6" fillId="0" borderId="12" xfId="33" applyNumberFormat="1" applyFont="1" applyFill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/>
    </xf>
    <xf numFmtId="43" fontId="4" fillId="0" borderId="15" xfId="0" applyNumberFormat="1" applyFont="1" applyFill="1" applyBorder="1" applyAlignment="1">
      <alignment horizontal="center"/>
    </xf>
    <xf numFmtId="214" fontId="1" fillId="0" borderId="17" xfId="33" applyNumberFormat="1" applyFont="1" applyFill="1" applyBorder="1" applyAlignment="1">
      <alignment horizontal="center" vertical="center" wrapText="1"/>
    </xf>
    <xf numFmtId="43" fontId="0" fillId="0" borderId="15" xfId="33" applyNumberFormat="1" applyFont="1" applyFill="1" applyBorder="1" applyAlignment="1">
      <alignment horizontal="center"/>
    </xf>
    <xf numFmtId="202" fontId="0" fillId="0" borderId="10" xfId="33" applyNumberFormat="1" applyFont="1" applyFill="1" applyBorder="1" applyAlignment="1">
      <alignment/>
    </xf>
    <xf numFmtId="202" fontId="0" fillId="0" borderId="10" xfId="33" applyNumberFormat="1" applyFont="1" applyFill="1" applyBorder="1" applyAlignment="1">
      <alignment horizontal="center"/>
    </xf>
    <xf numFmtId="214" fontId="1" fillId="0" borderId="17" xfId="33" applyNumberFormat="1" applyFont="1" applyFill="1" applyBorder="1" applyAlignment="1">
      <alignment horizontal="right" vertical="center"/>
    </xf>
    <xf numFmtId="43" fontId="1" fillId="0" borderId="16" xfId="33" applyFont="1" applyFill="1" applyBorder="1" applyAlignment="1">
      <alignment horizontal="center"/>
    </xf>
    <xf numFmtId="43" fontId="1" fillId="0" borderId="16" xfId="33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23" xfId="33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" fillId="0" borderId="17" xfId="0" applyNumberFormat="1" applyFont="1" applyFill="1" applyBorder="1" applyAlignment="1">
      <alignment horizontal="center"/>
    </xf>
    <xf numFmtId="43" fontId="1" fillId="0" borderId="2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3" fontId="0" fillId="0" borderId="18" xfId="33" applyFont="1" applyFill="1" applyBorder="1" applyAlignment="1">
      <alignment horizontal="center"/>
    </xf>
    <xf numFmtId="43" fontId="1" fillId="0" borderId="28" xfId="0" applyNumberFormat="1" applyFont="1" applyFill="1" applyBorder="1" applyAlignment="1">
      <alignment/>
    </xf>
    <xf numFmtId="43" fontId="0" fillId="0" borderId="0" xfId="33" applyFont="1" applyFill="1" applyBorder="1" applyAlignment="1">
      <alignment horizontal="center"/>
    </xf>
    <xf numFmtId="43" fontId="0" fillId="0" borderId="0" xfId="33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14" fontId="2" fillId="0" borderId="12" xfId="3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0" fillId="0" borderId="11" xfId="33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214" fontId="1" fillId="0" borderId="12" xfId="33" applyNumberFormat="1" applyFont="1" applyFill="1" applyBorder="1" applyAlignment="1">
      <alignment horizontal="center"/>
    </xf>
    <xf numFmtId="214" fontId="1" fillId="0" borderId="10" xfId="33" applyNumberFormat="1" applyFont="1" applyFill="1" applyBorder="1" applyAlignment="1">
      <alignment horizontal="right" vertical="center"/>
    </xf>
    <xf numFmtId="43" fontId="0" fillId="0" borderId="15" xfId="33" applyFont="1" applyFill="1" applyBorder="1" applyAlignment="1">
      <alignment horizontal="center"/>
    </xf>
    <xf numFmtId="43" fontId="1" fillId="0" borderId="10" xfId="33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3" fontId="1" fillId="0" borderId="0" xfId="33" applyFont="1" applyFill="1" applyBorder="1" applyAlignment="1">
      <alignment horizontal="center"/>
    </xf>
    <xf numFmtId="43" fontId="1" fillId="0" borderId="12" xfId="33" applyFont="1" applyFill="1" applyBorder="1" applyAlignment="1">
      <alignment horizontal="center"/>
    </xf>
    <xf numFmtId="43" fontId="0" fillId="0" borderId="26" xfId="33" applyNumberFormat="1" applyFont="1" applyFill="1" applyBorder="1" applyAlignment="1">
      <alignment/>
    </xf>
    <xf numFmtId="202" fontId="0" fillId="0" borderId="0" xfId="33" applyNumberFormat="1" applyFont="1" applyFill="1" applyBorder="1" applyAlignment="1">
      <alignment/>
    </xf>
    <xf numFmtId="43" fontId="0" fillId="0" borderId="24" xfId="33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/>
    </xf>
    <xf numFmtId="43" fontId="0" fillId="0" borderId="10" xfId="33" applyFont="1" applyBorder="1" applyAlignment="1">
      <alignment/>
    </xf>
    <xf numFmtId="43" fontId="0" fillId="0" borderId="10" xfId="0" applyNumberFormat="1" applyFont="1" applyFill="1" applyBorder="1" applyAlignment="1">
      <alignment horizontal="left"/>
    </xf>
    <xf numFmtId="43" fontId="1" fillId="0" borderId="24" xfId="33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left"/>
    </xf>
    <xf numFmtId="43" fontId="0" fillId="33" borderId="17" xfId="33" applyFont="1" applyFill="1" applyBorder="1" applyAlignment="1">
      <alignment/>
    </xf>
    <xf numFmtId="43" fontId="0" fillId="33" borderId="0" xfId="33" applyFont="1" applyFill="1" applyBorder="1" applyAlignment="1">
      <alignment horizontal="center"/>
    </xf>
    <xf numFmtId="43" fontId="0" fillId="0" borderId="0" xfId="33" applyFont="1" applyFill="1" applyAlignment="1">
      <alignment/>
    </xf>
    <xf numFmtId="43" fontId="0" fillId="0" borderId="14" xfId="33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4" fillId="0" borderId="0" xfId="33" applyFont="1" applyBorder="1" applyAlignment="1">
      <alignment horizontal="center"/>
    </xf>
    <xf numFmtId="43" fontId="90" fillId="33" borderId="0" xfId="33" applyFont="1" applyFill="1" applyBorder="1" applyAlignment="1">
      <alignment horizontal="center"/>
    </xf>
    <xf numFmtId="43" fontId="80" fillId="33" borderId="0" xfId="33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43" fontId="4" fillId="0" borderId="14" xfId="33" applyFont="1" applyFill="1" applyBorder="1" applyAlignment="1">
      <alignment horizontal="left"/>
    </xf>
    <xf numFmtId="43" fontId="4" fillId="0" borderId="17" xfId="33" applyFont="1" applyFill="1" applyBorder="1" applyAlignment="1">
      <alignment horizontal="left"/>
    </xf>
    <xf numFmtId="0" fontId="88" fillId="0" borderId="14" xfId="0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4" fillId="33" borderId="14" xfId="33" applyFont="1" applyFill="1" applyBorder="1" applyAlignment="1">
      <alignment horizontal="center"/>
    </xf>
    <xf numFmtId="43" fontId="4" fillId="33" borderId="17" xfId="33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7" fillId="0" borderId="14" xfId="33" applyFont="1" applyBorder="1" applyAlignment="1">
      <alignment horizontal="center"/>
    </xf>
    <xf numFmtId="43" fontId="7" fillId="0" borderId="17" xfId="33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43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4" xfId="33" applyFont="1" applyBorder="1" applyAlignment="1">
      <alignment horizontal="center"/>
    </xf>
    <xf numFmtId="43" fontId="4" fillId="0" borderId="17" xfId="33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91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43" fontId="4" fillId="0" borderId="17" xfId="33" applyFont="1" applyFill="1" applyBorder="1" applyAlignment="1">
      <alignment horizontal="center"/>
    </xf>
    <xf numFmtId="214" fontId="4" fillId="0" borderId="14" xfId="33" applyNumberFormat="1" applyFont="1" applyFill="1" applyBorder="1" applyAlignment="1">
      <alignment horizontal="center" vertical="center"/>
    </xf>
    <xf numFmtId="214" fontId="4" fillId="0" borderId="17" xfId="33" applyNumberFormat="1" applyFont="1" applyFill="1" applyBorder="1" applyAlignment="1">
      <alignment horizontal="center" vertical="center"/>
    </xf>
    <xf numFmtId="214" fontId="4" fillId="0" borderId="14" xfId="33" applyNumberFormat="1" applyFont="1" applyFill="1" applyBorder="1" applyAlignment="1">
      <alignment horizontal="center" vertical="center" shrinkToFit="1"/>
    </xf>
    <xf numFmtId="214" fontId="4" fillId="0" borderId="17" xfId="33" applyNumberFormat="1" applyFont="1" applyFill="1" applyBorder="1" applyAlignment="1">
      <alignment horizontal="center" vertical="center" shrinkToFit="1"/>
    </xf>
    <xf numFmtId="214" fontId="4" fillId="0" borderId="14" xfId="33" applyNumberFormat="1" applyFont="1" applyFill="1" applyBorder="1" applyAlignment="1">
      <alignment horizontal="center"/>
    </xf>
    <xf numFmtId="214" fontId="4" fillId="0" borderId="17" xfId="33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14" fontId="2" fillId="0" borderId="14" xfId="33" applyNumberFormat="1" applyFont="1" applyFill="1" applyBorder="1" applyAlignment="1">
      <alignment horizontal="center"/>
    </xf>
    <xf numFmtId="214" fontId="2" fillId="0" borderId="17" xfId="33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3" fontId="9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14" fontId="2" fillId="0" borderId="14" xfId="33" applyNumberFormat="1" applyFont="1" applyFill="1" applyBorder="1" applyAlignment="1">
      <alignment horizontal="center" vertical="center"/>
    </xf>
    <xf numFmtId="214" fontId="2" fillId="0" borderId="17" xfId="33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214" fontId="6" fillId="0" borderId="14" xfId="33" applyNumberFormat="1" applyFont="1" applyFill="1" applyBorder="1" applyAlignment="1">
      <alignment horizontal="right" vertical="center"/>
    </xf>
    <xf numFmtId="214" fontId="6" fillId="0" borderId="17" xfId="33" applyNumberFormat="1" applyFont="1" applyFill="1" applyBorder="1" applyAlignment="1">
      <alignment horizontal="right" vertical="center"/>
    </xf>
    <xf numFmtId="43" fontId="4" fillId="0" borderId="14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43" fontId="6" fillId="0" borderId="14" xfId="33" applyFont="1" applyFill="1" applyBorder="1" applyAlignment="1">
      <alignment horizontal="center"/>
    </xf>
    <xf numFmtId="43" fontId="6" fillId="0" borderId="17" xfId="33" applyFont="1" applyFill="1" applyBorder="1" applyAlignment="1">
      <alignment horizontal="center"/>
    </xf>
    <xf numFmtId="214" fontId="6" fillId="0" borderId="14" xfId="33" applyNumberFormat="1" applyFont="1" applyFill="1" applyBorder="1" applyAlignment="1">
      <alignment horizontal="center" vertical="center"/>
    </xf>
    <xf numFmtId="214" fontId="6" fillId="0" borderId="17" xfId="33" applyNumberFormat="1" applyFont="1" applyFill="1" applyBorder="1" applyAlignment="1">
      <alignment horizontal="center" vertical="center"/>
    </xf>
    <xf numFmtId="214" fontId="2" fillId="0" borderId="14" xfId="33" applyNumberFormat="1" applyFont="1" applyFill="1" applyBorder="1" applyAlignment="1">
      <alignment horizontal="right" vertical="center"/>
    </xf>
    <xf numFmtId="214" fontId="2" fillId="0" borderId="17" xfId="33" applyNumberFormat="1" applyFont="1" applyFill="1" applyBorder="1" applyAlignment="1">
      <alignment horizontal="right" vertical="center"/>
    </xf>
    <xf numFmtId="214" fontId="2" fillId="0" borderId="14" xfId="33" applyNumberFormat="1" applyFont="1" applyFill="1" applyBorder="1" applyAlignment="1">
      <alignment horizontal="center" vertical="center" wrapText="1"/>
    </xf>
    <xf numFmtId="214" fontId="2" fillId="0" borderId="17" xfId="33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3" fontId="8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88" fillId="0" borderId="14" xfId="0" applyFont="1" applyFill="1" applyBorder="1" applyAlignment="1">
      <alignment horizontal="left"/>
    </xf>
    <xf numFmtId="0" fontId="88" fillId="0" borderId="17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214" fontId="28" fillId="0" borderId="14" xfId="33" applyNumberFormat="1" applyFont="1" applyFill="1" applyBorder="1" applyAlignment="1">
      <alignment horizontal="center" vertical="center"/>
    </xf>
    <xf numFmtId="214" fontId="28" fillId="0" borderId="17" xfId="33" applyNumberFormat="1" applyFont="1" applyFill="1" applyBorder="1" applyAlignment="1">
      <alignment horizontal="center" vertical="center"/>
    </xf>
    <xf numFmtId="202" fontId="4" fillId="0" borderId="14" xfId="33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214" fontId="24" fillId="0" borderId="14" xfId="33" applyNumberFormat="1" applyFont="1" applyFill="1" applyBorder="1" applyAlignment="1">
      <alignment horizontal="center" vertical="center"/>
    </xf>
    <xf numFmtId="214" fontId="24" fillId="0" borderId="17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02" fontId="89" fillId="0" borderId="0" xfId="33" applyNumberFormat="1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 vertical="center" wrapText="1"/>
    </xf>
    <xf numFmtId="43" fontId="4" fillId="0" borderId="17" xfId="33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48"/>
  <sheetViews>
    <sheetView zoomScaleSheetLayoutView="90" zoomScalePageLayoutView="0" workbookViewId="0" topLeftCell="A115">
      <selection activeCell="G102" sqref="G102"/>
    </sheetView>
  </sheetViews>
  <sheetFormatPr defaultColWidth="9.140625" defaultRowHeight="24.75" customHeight="1"/>
  <cols>
    <col min="1" max="1" width="66.00390625" style="3" customWidth="1"/>
    <col min="2" max="2" width="23.140625" style="3" customWidth="1"/>
    <col min="3" max="4" width="23.140625" style="566" customWidth="1"/>
    <col min="5" max="5" width="9.8515625" style="3" bestFit="1" customWidth="1"/>
    <col min="6" max="16384" width="9.140625" style="3" customWidth="1"/>
  </cols>
  <sheetData>
    <row r="1" spans="1:4" ht="24.75" customHeight="1">
      <c r="A1" s="655" t="s">
        <v>552</v>
      </c>
      <c r="B1" s="655"/>
      <c r="C1" s="655"/>
      <c r="D1" s="655"/>
    </row>
    <row r="2" spans="1:4" ht="24.75" customHeight="1">
      <c r="A2" s="655" t="s">
        <v>579</v>
      </c>
      <c r="B2" s="655"/>
      <c r="C2" s="655"/>
      <c r="D2" s="655"/>
    </row>
    <row r="3" spans="1:4" ht="24.75" customHeight="1">
      <c r="A3" s="655" t="s">
        <v>530</v>
      </c>
      <c r="B3" s="655"/>
      <c r="C3" s="655"/>
      <c r="D3" s="655"/>
    </row>
    <row r="4" spans="1:4" s="167" customFormat="1" ht="24.75" customHeight="1">
      <c r="A4" s="656" t="s">
        <v>4</v>
      </c>
      <c r="B4" s="518" t="s">
        <v>531</v>
      </c>
      <c r="C4" s="518" t="s">
        <v>532</v>
      </c>
      <c r="D4" s="518" t="s">
        <v>6</v>
      </c>
    </row>
    <row r="5" spans="1:4" s="167" customFormat="1" ht="24.75" customHeight="1">
      <c r="A5" s="657"/>
      <c r="B5" s="521"/>
      <c r="C5" s="521" t="s">
        <v>533</v>
      </c>
      <c r="D5" s="521" t="s">
        <v>5</v>
      </c>
    </row>
    <row r="6" spans="1:4" s="167" customFormat="1" ht="24.75" customHeight="1">
      <c r="A6" s="522" t="s">
        <v>132</v>
      </c>
      <c r="B6" s="519"/>
      <c r="C6" s="520"/>
      <c r="D6" s="521"/>
    </row>
    <row r="7" spans="1:5" ht="24.75" customHeight="1">
      <c r="A7" s="523" t="s">
        <v>48</v>
      </c>
      <c r="B7" s="524">
        <v>514080</v>
      </c>
      <c r="C7" s="180">
        <f>'สำนักปลัด (2)'!R5</f>
        <v>514080</v>
      </c>
      <c r="D7" s="180">
        <f>B7-C7</f>
        <v>0</v>
      </c>
      <c r="E7" s="315"/>
    </row>
    <row r="8" spans="1:4" ht="24.75" customHeight="1">
      <c r="A8" s="523" t="s">
        <v>124</v>
      </c>
      <c r="B8" s="524">
        <v>42120</v>
      </c>
      <c r="C8" s="180">
        <f>'สำนักปลัด (2)'!R6</f>
        <v>42120</v>
      </c>
      <c r="D8" s="180">
        <f aca="true" t="shared" si="0" ref="D8:D17">B8-C8</f>
        <v>0</v>
      </c>
    </row>
    <row r="9" spans="1:4" ht="24.75" customHeight="1">
      <c r="A9" s="523" t="s">
        <v>127</v>
      </c>
      <c r="B9" s="524">
        <v>42120</v>
      </c>
      <c r="C9" s="180">
        <f>'สำนักปลัด (2)'!R7</f>
        <v>42120</v>
      </c>
      <c r="D9" s="180">
        <f t="shared" si="0"/>
        <v>0</v>
      </c>
    </row>
    <row r="10" spans="1:4" ht="24.75" customHeight="1">
      <c r="A10" s="523" t="s">
        <v>128</v>
      </c>
      <c r="B10" s="524">
        <v>86400</v>
      </c>
      <c r="C10" s="180">
        <f>'สำนักปลัด (2)'!R8</f>
        <v>86400</v>
      </c>
      <c r="D10" s="180">
        <f t="shared" si="0"/>
        <v>0</v>
      </c>
    </row>
    <row r="11" spans="1:4" ht="24.75" customHeight="1">
      <c r="A11" s="523" t="s">
        <v>130</v>
      </c>
      <c r="B11" s="524">
        <v>1800000</v>
      </c>
      <c r="C11" s="180">
        <f>'สำนักปลัด (2)'!R9</f>
        <v>1800000</v>
      </c>
      <c r="D11" s="180">
        <f t="shared" si="0"/>
        <v>0</v>
      </c>
    </row>
    <row r="12" spans="1:4" ht="24.75" customHeight="1">
      <c r="A12" s="522" t="s">
        <v>134</v>
      </c>
      <c r="B12" s="524"/>
      <c r="C12" s="180"/>
      <c r="D12" s="180"/>
    </row>
    <row r="13" spans="1:6" ht="24.75" customHeight="1">
      <c r="A13" s="523" t="s">
        <v>72</v>
      </c>
      <c r="B13" s="525">
        <v>1993770</v>
      </c>
      <c r="C13" s="180">
        <f>'สำนักปลัด (2)'!R11</f>
        <v>1945182</v>
      </c>
      <c r="D13" s="180">
        <f t="shared" si="0"/>
        <v>48588</v>
      </c>
      <c r="F13" s="315"/>
    </row>
    <row r="14" spans="1:4" ht="24.75" customHeight="1">
      <c r="A14" s="523" t="s">
        <v>330</v>
      </c>
      <c r="B14" s="525">
        <v>98500</v>
      </c>
      <c r="C14" s="180">
        <f>'สำนักปลัด (2)'!R12</f>
        <v>98200</v>
      </c>
      <c r="D14" s="180">
        <f t="shared" si="0"/>
        <v>300</v>
      </c>
    </row>
    <row r="15" spans="1:4" ht="24.75" customHeight="1">
      <c r="A15" s="4" t="s">
        <v>73</v>
      </c>
      <c r="B15" s="525">
        <v>126000</v>
      </c>
      <c r="C15" s="180">
        <f>'สำนักปลัด (2)'!R13</f>
        <v>126000</v>
      </c>
      <c r="D15" s="180">
        <f t="shared" si="0"/>
        <v>0</v>
      </c>
    </row>
    <row r="16" spans="1:4" ht="24.75" customHeight="1">
      <c r="A16" s="4" t="s">
        <v>13</v>
      </c>
      <c r="B16" s="525">
        <v>550560</v>
      </c>
      <c r="C16" s="180">
        <f>'สำนักปลัด (2)'!R14</f>
        <v>548400</v>
      </c>
      <c r="D16" s="180">
        <f t="shared" si="0"/>
        <v>2160</v>
      </c>
    </row>
    <row r="17" spans="1:4" ht="24.75" customHeight="1">
      <c r="A17" s="4" t="s">
        <v>14</v>
      </c>
      <c r="B17" s="525">
        <v>50000</v>
      </c>
      <c r="C17" s="180">
        <f>'สำนักปลัด (2)'!R15</f>
        <v>49860</v>
      </c>
      <c r="D17" s="180">
        <f t="shared" si="0"/>
        <v>140</v>
      </c>
    </row>
    <row r="18" spans="1:4" ht="24.75" customHeight="1" thickBot="1">
      <c r="A18" s="526" t="s">
        <v>493</v>
      </c>
      <c r="B18" s="527">
        <f>SUM(B7:B17)</f>
        <v>5303550</v>
      </c>
      <c r="C18" s="528">
        <f>SUM(C7:C17)</f>
        <v>5252362</v>
      </c>
      <c r="D18" s="528">
        <f>SUM(D7:D17)</f>
        <v>51188</v>
      </c>
    </row>
    <row r="19" spans="1:4" ht="24.75" customHeight="1" thickTop="1">
      <c r="A19" s="529" t="s">
        <v>93</v>
      </c>
      <c r="B19" s="530"/>
      <c r="C19" s="180"/>
      <c r="D19" s="180"/>
    </row>
    <row r="20" spans="1:4" ht="24.75" customHeight="1">
      <c r="A20" s="4" t="s">
        <v>143</v>
      </c>
      <c r="B20" s="525">
        <v>540000</v>
      </c>
      <c r="C20" s="180">
        <f>'สำนักปลัด (2)'!R18</f>
        <v>540000</v>
      </c>
      <c r="D20" s="180">
        <f>B20-C20</f>
        <v>0</v>
      </c>
    </row>
    <row r="21" spans="1:6" ht="24.75" customHeight="1">
      <c r="A21" s="531" t="s">
        <v>494</v>
      </c>
      <c r="B21" s="525">
        <v>60000</v>
      </c>
      <c r="C21" s="180">
        <f>'สำนักปลัด (2)'!R19</f>
        <v>60000</v>
      </c>
      <c r="D21" s="180">
        <f>B21-C21</f>
        <v>0</v>
      </c>
      <c r="F21" s="315"/>
    </row>
    <row r="22" spans="1:6" ht="24.75" customHeight="1">
      <c r="A22" s="531" t="s">
        <v>495</v>
      </c>
      <c r="B22" s="525">
        <v>210000</v>
      </c>
      <c r="C22" s="180">
        <f>'สำนักปลัด (2)'!R20</f>
        <v>168000</v>
      </c>
      <c r="D22" s="180">
        <f>B22-C22</f>
        <v>42000</v>
      </c>
      <c r="E22" s="315"/>
      <c r="F22" s="315"/>
    </row>
    <row r="23" spans="1:5" ht="24.75" customHeight="1">
      <c r="A23" s="531" t="s">
        <v>496</v>
      </c>
      <c r="B23" s="525">
        <v>30000</v>
      </c>
      <c r="C23" s="180">
        <f>'สำนักปลัด (2)'!R21</f>
        <v>15721.75</v>
      </c>
      <c r="D23" s="180">
        <f>B23-C23</f>
        <v>14278.25</v>
      </c>
      <c r="E23" s="315"/>
    </row>
    <row r="24" spans="1:5" ht="24.75" customHeight="1">
      <c r="A24" s="531"/>
      <c r="B24" s="532"/>
      <c r="C24" s="180"/>
      <c r="D24" s="180"/>
      <c r="E24" s="315"/>
    </row>
    <row r="25" spans="1:5" ht="24.75" customHeight="1" thickBot="1">
      <c r="A25" s="526" t="s">
        <v>497</v>
      </c>
      <c r="B25" s="567">
        <f>SUM(B20:B24)</f>
        <v>840000</v>
      </c>
      <c r="C25" s="528">
        <f>SUM(C20:C24)</f>
        <v>783721.75</v>
      </c>
      <c r="D25" s="528">
        <f>SUM(D20:D24)</f>
        <v>56278.25</v>
      </c>
      <c r="E25" s="315"/>
    </row>
    <row r="26" spans="1:4" ht="24.75" customHeight="1" thickTop="1">
      <c r="A26" s="533" t="s">
        <v>23</v>
      </c>
      <c r="B26" s="568"/>
      <c r="C26" s="534"/>
      <c r="D26" s="535"/>
    </row>
    <row r="27" spans="1:4" ht="24.75" customHeight="1">
      <c r="A27" s="529" t="s">
        <v>514</v>
      </c>
      <c r="B27" s="536"/>
      <c r="C27" s="535"/>
      <c r="D27" s="537"/>
    </row>
    <row r="28" spans="1:7" ht="24.75" customHeight="1">
      <c r="A28" s="531" t="s">
        <v>515</v>
      </c>
      <c r="B28" s="538">
        <v>176000</v>
      </c>
      <c r="C28" s="180">
        <f>'สำนักปลัด (2)'!R26</f>
        <v>144870</v>
      </c>
      <c r="D28" s="180">
        <f aca="true" t="shared" si="1" ref="D28:D88">B28-C28</f>
        <v>31130</v>
      </c>
      <c r="E28" s="315"/>
      <c r="F28" s="315"/>
      <c r="G28" s="315"/>
    </row>
    <row r="29" spans="1:7" ht="24.75" customHeight="1">
      <c r="A29" s="4" t="s">
        <v>16</v>
      </c>
      <c r="B29" s="538">
        <v>90000</v>
      </c>
      <c r="C29" s="180">
        <f>'สำนักปลัด (2)'!R27</f>
        <v>82000</v>
      </c>
      <c r="D29" s="180">
        <f t="shared" si="1"/>
        <v>8000</v>
      </c>
      <c r="E29" s="315"/>
      <c r="F29" s="315"/>
      <c r="G29" s="315"/>
    </row>
    <row r="30" spans="1:6" ht="24.75" customHeight="1">
      <c r="A30" s="4" t="s">
        <v>62</v>
      </c>
      <c r="B30" s="538">
        <v>10000</v>
      </c>
      <c r="C30" s="180">
        <f>'สำนักปลัด (2)'!R28</f>
        <v>0</v>
      </c>
      <c r="D30" s="180">
        <f t="shared" si="1"/>
        <v>10000</v>
      </c>
      <c r="E30" s="315"/>
      <c r="F30" s="315"/>
    </row>
    <row r="31" spans="1:6" ht="24.75" customHeight="1">
      <c r="A31" s="4" t="s">
        <v>150</v>
      </c>
      <c r="B31" s="538">
        <v>5000</v>
      </c>
      <c r="C31" s="180">
        <f>'สำนักปลัด (2)'!R29</f>
        <v>2430</v>
      </c>
      <c r="D31" s="180">
        <f t="shared" si="1"/>
        <v>2570</v>
      </c>
      <c r="E31" s="315"/>
      <c r="F31" s="315"/>
    </row>
    <row r="32" spans="1:7" ht="24.75" customHeight="1">
      <c r="A32" s="4" t="s">
        <v>151</v>
      </c>
      <c r="B32" s="538">
        <v>8000</v>
      </c>
      <c r="C32" s="180">
        <f>'สำนักปลัด (2)'!R30</f>
        <v>0</v>
      </c>
      <c r="D32" s="180">
        <f t="shared" si="1"/>
        <v>8000</v>
      </c>
      <c r="E32" s="315"/>
      <c r="F32" s="315"/>
      <c r="G32" s="315"/>
    </row>
    <row r="33" spans="1:7" ht="24.75" customHeight="1">
      <c r="A33" s="4" t="s">
        <v>179</v>
      </c>
      <c r="B33" s="538">
        <v>63000</v>
      </c>
      <c r="C33" s="180">
        <f>'สำนักปลัด (2)'!R31</f>
        <v>57750</v>
      </c>
      <c r="D33" s="180">
        <f t="shared" si="1"/>
        <v>5250</v>
      </c>
      <c r="E33" s="315"/>
      <c r="F33" s="315"/>
      <c r="G33" s="315"/>
    </row>
    <row r="34" spans="1:6" ht="24.75" customHeight="1">
      <c r="A34" s="4" t="s">
        <v>180</v>
      </c>
      <c r="B34" s="538"/>
      <c r="C34" s="180">
        <f>'สำนักปลัด (2)'!R32</f>
        <v>0</v>
      </c>
      <c r="D34" s="180">
        <f t="shared" si="1"/>
        <v>0</v>
      </c>
      <c r="E34" s="315"/>
      <c r="F34" s="315"/>
    </row>
    <row r="35" spans="1:6" ht="24.75" customHeight="1">
      <c r="A35" s="163" t="s">
        <v>190</v>
      </c>
      <c r="B35" s="539">
        <v>336000</v>
      </c>
      <c r="C35" s="180">
        <f>'สำนักปลัด (2)'!R33</f>
        <v>336000</v>
      </c>
      <c r="D35" s="180">
        <f t="shared" si="1"/>
        <v>0</v>
      </c>
      <c r="E35" s="315"/>
      <c r="F35" s="315"/>
    </row>
    <row r="36" spans="1:6" ht="24.75" customHeight="1">
      <c r="A36" s="163" t="s">
        <v>244</v>
      </c>
      <c r="B36" s="539">
        <v>126000</v>
      </c>
      <c r="C36" s="180">
        <f>'สำนักปลัด (2)'!R34</f>
        <v>40250</v>
      </c>
      <c r="D36" s="180">
        <f t="shared" si="1"/>
        <v>85750</v>
      </c>
      <c r="E36" s="315"/>
      <c r="F36" s="315"/>
    </row>
    <row r="37" spans="1:6" ht="24.75" customHeight="1">
      <c r="A37" s="529" t="s">
        <v>516</v>
      </c>
      <c r="B37" s="540"/>
      <c r="C37" s="180">
        <f>'สำนักปลัด (2)'!R35</f>
        <v>0</v>
      </c>
      <c r="D37" s="180">
        <f t="shared" si="1"/>
        <v>0</v>
      </c>
      <c r="E37" s="315"/>
      <c r="F37" s="315"/>
    </row>
    <row r="38" spans="1:6" ht="24.75" customHeight="1">
      <c r="A38" s="4" t="s">
        <v>152</v>
      </c>
      <c r="B38" s="538">
        <v>15000</v>
      </c>
      <c r="C38" s="180">
        <f>'สำนักปลัด (2)'!R36</f>
        <v>7175</v>
      </c>
      <c r="D38" s="180">
        <f t="shared" si="1"/>
        <v>7825</v>
      </c>
      <c r="E38" s="315"/>
      <c r="F38" s="315"/>
    </row>
    <row r="39" spans="1:6" ht="24.75" customHeight="1">
      <c r="A39" s="4" t="s">
        <v>153</v>
      </c>
      <c r="B39" s="538">
        <v>15000</v>
      </c>
      <c r="C39" s="180">
        <f>'สำนักปลัด (2)'!R37</f>
        <v>4500</v>
      </c>
      <c r="D39" s="180">
        <f t="shared" si="1"/>
        <v>10500</v>
      </c>
      <c r="E39" s="315"/>
      <c r="F39" s="315"/>
    </row>
    <row r="40" spans="1:7" ht="24.75" customHeight="1">
      <c r="A40" s="163" t="s">
        <v>154</v>
      </c>
      <c r="B40" s="541"/>
      <c r="C40" s="180">
        <f>'สำนักปลัด (2)'!R38</f>
        <v>0</v>
      </c>
      <c r="D40" s="180">
        <f t="shared" si="1"/>
        <v>0</v>
      </c>
      <c r="E40" s="315"/>
      <c r="F40" s="315"/>
      <c r="G40" s="315"/>
    </row>
    <row r="41" spans="1:5" ht="24.75" customHeight="1">
      <c r="A41" s="529" t="s">
        <v>517</v>
      </c>
      <c r="B41" s="536"/>
      <c r="C41" s="180">
        <f>'สำนักปลัด (2)'!R39</f>
        <v>0</v>
      </c>
      <c r="D41" s="180">
        <f t="shared" si="1"/>
        <v>0</v>
      </c>
      <c r="E41" s="315"/>
    </row>
    <row r="42" spans="1:5" ht="24.75" customHeight="1">
      <c r="A42" s="4" t="s">
        <v>332</v>
      </c>
      <c r="B42" s="538">
        <v>200000</v>
      </c>
      <c r="C42" s="180">
        <f>'สำนักปลัด (2)'!R40</f>
        <v>199825</v>
      </c>
      <c r="D42" s="180">
        <f t="shared" si="1"/>
        <v>175</v>
      </c>
      <c r="E42" s="315"/>
    </row>
    <row r="43" spans="1:5" ht="24.75" customHeight="1">
      <c r="A43" s="656" t="s">
        <v>4</v>
      </c>
      <c r="B43" s="518" t="s">
        <v>531</v>
      </c>
      <c r="C43" s="518" t="s">
        <v>532</v>
      </c>
      <c r="D43" s="518" t="s">
        <v>6</v>
      </c>
      <c r="E43" s="315"/>
    </row>
    <row r="44" spans="1:5" ht="24.75" customHeight="1">
      <c r="A44" s="657"/>
      <c r="B44" s="521"/>
      <c r="C44" s="521" t="s">
        <v>533</v>
      </c>
      <c r="D44" s="521" t="s">
        <v>5</v>
      </c>
      <c r="E44" s="315"/>
    </row>
    <row r="45" spans="1:6" ht="24.75" customHeight="1">
      <c r="A45" s="4" t="s">
        <v>156</v>
      </c>
      <c r="B45" s="538">
        <v>13000</v>
      </c>
      <c r="C45" s="180">
        <f>'สำนักปลัด (2)'!R41</f>
        <v>12100</v>
      </c>
      <c r="D45" s="180">
        <f t="shared" si="1"/>
        <v>900</v>
      </c>
      <c r="E45" s="315"/>
      <c r="F45" s="315"/>
    </row>
    <row r="46" spans="1:5" ht="24.75" customHeight="1">
      <c r="A46" s="4" t="s">
        <v>331</v>
      </c>
      <c r="B46" s="538">
        <v>20000</v>
      </c>
      <c r="C46" s="180">
        <f>'สำนักปลัด (2)'!R42</f>
        <v>16344</v>
      </c>
      <c r="D46" s="180">
        <f t="shared" si="1"/>
        <v>3656</v>
      </c>
      <c r="E46" s="315"/>
    </row>
    <row r="47" spans="1:7" ht="24.75" customHeight="1">
      <c r="A47" s="4" t="s">
        <v>157</v>
      </c>
      <c r="B47" s="538">
        <v>35000</v>
      </c>
      <c r="C47" s="180">
        <f>'สำนักปลัด (2)'!R43</f>
        <v>31416</v>
      </c>
      <c r="D47" s="180">
        <f t="shared" si="1"/>
        <v>3584</v>
      </c>
      <c r="G47" s="315"/>
    </row>
    <row r="48" spans="1:5" ht="24.75" customHeight="1">
      <c r="A48" s="4" t="s">
        <v>425</v>
      </c>
      <c r="B48" s="538">
        <v>100000</v>
      </c>
      <c r="C48" s="180">
        <f>'สำนักปลัด (2)'!R44</f>
        <v>98625</v>
      </c>
      <c r="D48" s="180">
        <f t="shared" si="1"/>
        <v>1375</v>
      </c>
      <c r="E48" s="315"/>
    </row>
    <row r="49" spans="1:4" ht="24.75" customHeight="1">
      <c r="A49" s="4" t="s">
        <v>158</v>
      </c>
      <c r="B49" s="538">
        <v>7000</v>
      </c>
      <c r="C49" s="180">
        <f>'สำนักปลัด (2)'!R45</f>
        <v>5750</v>
      </c>
      <c r="D49" s="180">
        <f t="shared" si="1"/>
        <v>1250</v>
      </c>
    </row>
    <row r="50" spans="1:4" ht="24.75" customHeight="1">
      <c r="A50" s="4" t="s">
        <v>159</v>
      </c>
      <c r="B50" s="538">
        <v>100000</v>
      </c>
      <c r="C50" s="180">
        <f>'สำนักปลัด (2)'!R46</f>
        <v>0</v>
      </c>
      <c r="D50" s="180">
        <f t="shared" si="1"/>
        <v>100000</v>
      </c>
    </row>
    <row r="51" spans="1:4" ht="24.75" customHeight="1">
      <c r="A51" s="4" t="s">
        <v>460</v>
      </c>
      <c r="B51" s="538">
        <v>10000</v>
      </c>
      <c r="C51" s="180">
        <f>'สำนักปลัด (2)'!R47</f>
        <v>0</v>
      </c>
      <c r="D51" s="180">
        <f t="shared" si="1"/>
        <v>10000</v>
      </c>
    </row>
    <row r="52" spans="1:5" ht="24.75" customHeight="1">
      <c r="A52" s="4" t="s">
        <v>461</v>
      </c>
      <c r="B52" s="538">
        <v>10000</v>
      </c>
      <c r="C52" s="180">
        <f>'สำนักปลัด (2)'!R48</f>
        <v>10000</v>
      </c>
      <c r="D52" s="180">
        <f t="shared" si="1"/>
        <v>0</v>
      </c>
      <c r="E52" s="315"/>
    </row>
    <row r="53" spans="1:6" ht="24.75" customHeight="1">
      <c r="A53" s="543" t="s">
        <v>325</v>
      </c>
      <c r="B53" s="538"/>
      <c r="C53" s="180">
        <f>'สำนักปลัด (2)'!R49</f>
        <v>0</v>
      </c>
      <c r="D53" s="180">
        <f t="shared" si="1"/>
        <v>0</v>
      </c>
      <c r="E53" s="315"/>
      <c r="F53" s="315"/>
    </row>
    <row r="54" spans="1:5" ht="24.75" customHeight="1">
      <c r="A54" s="4" t="s">
        <v>192</v>
      </c>
      <c r="B54" s="538">
        <v>25000</v>
      </c>
      <c r="C54" s="180">
        <f>'สำนักปลัด (2)'!R50</f>
        <v>24751</v>
      </c>
      <c r="D54" s="180">
        <f t="shared" si="1"/>
        <v>249</v>
      </c>
      <c r="E54" s="315"/>
    </row>
    <row r="55" spans="1:4" ht="24.75" customHeight="1">
      <c r="A55" s="4" t="s">
        <v>301</v>
      </c>
      <c r="B55" s="538">
        <v>10000</v>
      </c>
      <c r="C55" s="180">
        <f>'สำนักปลัด (2)'!R51</f>
        <v>0</v>
      </c>
      <c r="D55" s="180">
        <f t="shared" si="1"/>
        <v>10000</v>
      </c>
    </row>
    <row r="56" spans="1:5" ht="24.75" customHeight="1">
      <c r="A56" s="4" t="s">
        <v>191</v>
      </c>
      <c r="B56" s="538">
        <v>25000</v>
      </c>
      <c r="C56" s="180">
        <f>'สำนักปลัด (2)'!R52</f>
        <v>24668</v>
      </c>
      <c r="D56" s="180">
        <f t="shared" si="1"/>
        <v>332</v>
      </c>
      <c r="E56" s="315"/>
    </row>
    <row r="57" spans="1:4" ht="24.75" customHeight="1">
      <c r="A57" s="4" t="s">
        <v>302</v>
      </c>
      <c r="B57" s="538">
        <v>3000</v>
      </c>
      <c r="C57" s="180">
        <f>'สำนักปลัด (2)'!R53</f>
        <v>0</v>
      </c>
      <c r="D57" s="180">
        <f t="shared" si="1"/>
        <v>3000</v>
      </c>
    </row>
    <row r="58" spans="1:5" ht="24.75" customHeight="1">
      <c r="A58" s="4" t="s">
        <v>303</v>
      </c>
      <c r="B58" s="538">
        <v>30000</v>
      </c>
      <c r="C58" s="180">
        <f>'สำนักปลัด (2)'!R54</f>
        <v>29550</v>
      </c>
      <c r="D58" s="180">
        <f t="shared" si="1"/>
        <v>450</v>
      </c>
      <c r="E58" s="315"/>
    </row>
    <row r="59" spans="1:6" ht="24.75" customHeight="1">
      <c r="A59" s="4" t="s">
        <v>401</v>
      </c>
      <c r="B59" s="538"/>
      <c r="C59" s="180">
        <f>'สำนักปลัด (2)'!R55</f>
        <v>0</v>
      </c>
      <c r="D59" s="180">
        <f t="shared" si="1"/>
        <v>0</v>
      </c>
      <c r="E59" s="315"/>
      <c r="F59" s="315"/>
    </row>
    <row r="60" spans="1:5" ht="24.75" customHeight="1">
      <c r="A60" s="4" t="s">
        <v>328</v>
      </c>
      <c r="B60" s="538"/>
      <c r="C60" s="180">
        <f>'สำนักปลัด (2)'!R56</f>
        <v>0</v>
      </c>
      <c r="D60" s="180">
        <f t="shared" si="1"/>
        <v>0</v>
      </c>
      <c r="E60" s="315"/>
    </row>
    <row r="61" spans="1:4" ht="24.75" customHeight="1">
      <c r="A61" s="4" t="s">
        <v>183</v>
      </c>
      <c r="B61" s="538">
        <v>40000</v>
      </c>
      <c r="C61" s="180">
        <f>'สำนักปลัด (2)'!R57</f>
        <v>39000</v>
      </c>
      <c r="D61" s="180">
        <f t="shared" si="1"/>
        <v>1000</v>
      </c>
    </row>
    <row r="62" spans="1:4" ht="24.75" customHeight="1">
      <c r="A62" s="4" t="s">
        <v>184</v>
      </c>
      <c r="B62" s="538">
        <v>40000</v>
      </c>
      <c r="C62" s="180">
        <f>'สำนักปลัด (2)'!R58</f>
        <v>39997</v>
      </c>
      <c r="D62" s="180">
        <f t="shared" si="1"/>
        <v>3</v>
      </c>
    </row>
    <row r="63" spans="1:5" ht="24.75" customHeight="1">
      <c r="A63" s="4" t="s">
        <v>408</v>
      </c>
      <c r="B63" s="538"/>
      <c r="C63" s="180">
        <f>'สำนักปลัด (2)'!R59</f>
        <v>0</v>
      </c>
      <c r="D63" s="180">
        <f t="shared" si="1"/>
        <v>0</v>
      </c>
      <c r="E63" s="315"/>
    </row>
    <row r="64" spans="1:5" ht="24.75" customHeight="1">
      <c r="A64" s="543" t="s">
        <v>238</v>
      </c>
      <c r="B64" s="538">
        <v>20000</v>
      </c>
      <c r="C64" s="180">
        <f>'สำนักปลัด (2)'!R60</f>
        <v>7192</v>
      </c>
      <c r="D64" s="180">
        <f t="shared" si="1"/>
        <v>12808</v>
      </c>
      <c r="E64" s="315"/>
    </row>
    <row r="65" spans="1:5" ht="24.75" customHeight="1">
      <c r="A65" s="4" t="s">
        <v>187</v>
      </c>
      <c r="B65" s="538">
        <v>0</v>
      </c>
      <c r="C65" s="180">
        <f>'สำนักปลัด (2)'!R61</f>
        <v>0</v>
      </c>
      <c r="D65" s="180">
        <f t="shared" si="1"/>
        <v>0</v>
      </c>
      <c r="E65" s="315"/>
    </row>
    <row r="66" spans="1:5" ht="24.75" customHeight="1">
      <c r="A66" s="4" t="s">
        <v>372</v>
      </c>
      <c r="B66" s="538">
        <v>0</v>
      </c>
      <c r="C66" s="180">
        <f>'สำนักปลัด (2)'!R62</f>
        <v>0</v>
      </c>
      <c r="D66" s="180">
        <f t="shared" si="1"/>
        <v>0</v>
      </c>
      <c r="E66" s="315"/>
    </row>
    <row r="67" spans="1:5" ht="24.75" customHeight="1">
      <c r="A67" s="4" t="s">
        <v>188</v>
      </c>
      <c r="B67" s="538">
        <v>40000</v>
      </c>
      <c r="C67" s="180">
        <f>'สำนักปลัด (2)'!R63</f>
        <v>37100</v>
      </c>
      <c r="D67" s="180">
        <f t="shared" si="1"/>
        <v>2900</v>
      </c>
      <c r="E67" s="315"/>
    </row>
    <row r="68" spans="1:5" ht="24.75" customHeight="1">
      <c r="A68" s="4" t="s">
        <v>488</v>
      </c>
      <c r="B68" s="538">
        <v>20000</v>
      </c>
      <c r="C68" s="180">
        <f>'สำนักปลัด (2)'!R64</f>
        <v>19572</v>
      </c>
      <c r="D68" s="180">
        <f t="shared" si="1"/>
        <v>428</v>
      </c>
      <c r="E68" s="315"/>
    </row>
    <row r="69" spans="1:5" s="167" customFormat="1" ht="24.75" customHeight="1">
      <c r="A69" s="4" t="s">
        <v>380</v>
      </c>
      <c r="B69" s="538">
        <v>0</v>
      </c>
      <c r="C69" s="180">
        <f>'สำนักปลัด (2)'!R65</f>
        <v>0</v>
      </c>
      <c r="D69" s="180">
        <f t="shared" si="1"/>
        <v>0</v>
      </c>
      <c r="E69" s="315"/>
    </row>
    <row r="70" spans="1:6" s="167" customFormat="1" ht="24.75" customHeight="1">
      <c r="A70" s="4" t="s">
        <v>454</v>
      </c>
      <c r="B70" s="538">
        <v>30000</v>
      </c>
      <c r="C70" s="180">
        <f>'สำนักปลัด (2)'!R66</f>
        <v>22950</v>
      </c>
      <c r="D70" s="180">
        <f t="shared" si="1"/>
        <v>7050</v>
      </c>
      <c r="E70" s="315"/>
      <c r="F70" s="278"/>
    </row>
    <row r="71" spans="1:5" s="167" customFormat="1" ht="24.75" customHeight="1">
      <c r="A71" s="4" t="s">
        <v>379</v>
      </c>
      <c r="B71" s="538">
        <v>12000</v>
      </c>
      <c r="C71" s="180">
        <f>'สำนักปลัด (2)'!R67</f>
        <v>9720</v>
      </c>
      <c r="D71" s="180">
        <f t="shared" si="1"/>
        <v>2280</v>
      </c>
      <c r="E71" s="315"/>
    </row>
    <row r="72" spans="1:6" s="167" customFormat="1" ht="24.75" customHeight="1">
      <c r="A72" s="543" t="s">
        <v>453</v>
      </c>
      <c r="B72" s="538">
        <v>60000</v>
      </c>
      <c r="C72" s="180">
        <f>'สำนักปลัด (2)'!R68</f>
        <v>48750</v>
      </c>
      <c r="D72" s="180">
        <f t="shared" si="1"/>
        <v>11250</v>
      </c>
      <c r="E72" s="315"/>
      <c r="F72" s="278"/>
    </row>
    <row r="73" spans="1:5" s="167" customFormat="1" ht="24.75" customHeight="1">
      <c r="A73" s="543" t="s">
        <v>466</v>
      </c>
      <c r="B73" s="538">
        <v>20000</v>
      </c>
      <c r="C73" s="180">
        <f>'สำนักปลัด (2)'!R69</f>
        <v>18482</v>
      </c>
      <c r="D73" s="180">
        <f t="shared" si="1"/>
        <v>1518</v>
      </c>
      <c r="E73" s="278"/>
    </row>
    <row r="74" spans="1:4" s="167" customFormat="1" ht="24.75" customHeight="1">
      <c r="A74" s="543" t="s">
        <v>487</v>
      </c>
      <c r="B74" s="538">
        <v>200000</v>
      </c>
      <c r="C74" s="180">
        <f>'สำนักปลัด (2)'!R70</f>
        <v>200000</v>
      </c>
      <c r="D74" s="180">
        <f t="shared" si="1"/>
        <v>0</v>
      </c>
    </row>
    <row r="75" spans="1:5" s="167" customFormat="1" ht="24.75" customHeight="1">
      <c r="A75" s="543" t="s">
        <v>381</v>
      </c>
      <c r="B75" s="538">
        <v>30000</v>
      </c>
      <c r="C75" s="180">
        <f>'สำนักปลัด (2)'!R71</f>
        <v>30000</v>
      </c>
      <c r="D75" s="180">
        <f t="shared" si="1"/>
        <v>0</v>
      </c>
      <c r="E75" s="278"/>
    </row>
    <row r="76" spans="1:5" s="167" customFormat="1" ht="24.75" customHeight="1">
      <c r="A76" s="543" t="s">
        <v>382</v>
      </c>
      <c r="B76" s="538">
        <v>10000</v>
      </c>
      <c r="C76" s="180">
        <f>'สำนักปลัด (2)'!R72</f>
        <v>1467</v>
      </c>
      <c r="D76" s="180">
        <f t="shared" si="1"/>
        <v>8533</v>
      </c>
      <c r="E76" s="278"/>
    </row>
    <row r="77" spans="1:5" s="167" customFormat="1" ht="24.75" customHeight="1">
      <c r="A77" s="543" t="s">
        <v>311</v>
      </c>
      <c r="B77" s="538">
        <v>15000</v>
      </c>
      <c r="C77" s="180">
        <f>'สำนักปลัด (2)'!R73</f>
        <v>14922</v>
      </c>
      <c r="D77" s="180">
        <f t="shared" si="1"/>
        <v>78</v>
      </c>
      <c r="E77" s="278"/>
    </row>
    <row r="78" spans="1:5" s="167" customFormat="1" ht="24.75" customHeight="1">
      <c r="A78" s="543" t="s">
        <v>459</v>
      </c>
      <c r="B78" s="538">
        <v>50000</v>
      </c>
      <c r="C78" s="180">
        <f>'สำนักปลัด (2)'!R74</f>
        <v>25652</v>
      </c>
      <c r="D78" s="180">
        <f t="shared" si="1"/>
        <v>24348</v>
      </c>
      <c r="E78" s="278"/>
    </row>
    <row r="79" spans="1:6" s="167" customFormat="1" ht="24.75" customHeight="1">
      <c r="A79" s="543" t="s">
        <v>387</v>
      </c>
      <c r="B79" s="538">
        <v>30000</v>
      </c>
      <c r="C79" s="180">
        <f>'สำนักปลัด (2)'!R75</f>
        <v>0</v>
      </c>
      <c r="D79" s="180">
        <f t="shared" si="1"/>
        <v>30000</v>
      </c>
      <c r="F79" s="278"/>
    </row>
    <row r="80" spans="1:5" s="167" customFormat="1" ht="24.75" customHeight="1">
      <c r="A80" s="543" t="s">
        <v>388</v>
      </c>
      <c r="B80" s="538">
        <v>10000</v>
      </c>
      <c r="C80" s="180">
        <f>'สำนักปลัด (2)'!R76</f>
        <v>7832</v>
      </c>
      <c r="D80" s="180">
        <f t="shared" si="1"/>
        <v>2168</v>
      </c>
      <c r="E80" s="278"/>
    </row>
    <row r="81" spans="1:5" s="167" customFormat="1" ht="24.75" customHeight="1">
      <c r="A81" s="543" t="s">
        <v>457</v>
      </c>
      <c r="B81" s="538">
        <v>20000</v>
      </c>
      <c r="C81" s="180">
        <f>'สำนักปลัด (2)'!R77</f>
        <v>19987</v>
      </c>
      <c r="D81" s="180">
        <f t="shared" si="1"/>
        <v>13</v>
      </c>
      <c r="E81" s="278"/>
    </row>
    <row r="82" spans="1:4" s="167" customFormat="1" ht="24.75" customHeight="1">
      <c r="A82" s="543" t="s">
        <v>458</v>
      </c>
      <c r="B82" s="538">
        <v>20000</v>
      </c>
      <c r="C82" s="180">
        <f>'สำนักปลัด (2)'!R78</f>
        <v>0</v>
      </c>
      <c r="D82" s="180">
        <f t="shared" si="1"/>
        <v>20000</v>
      </c>
    </row>
    <row r="83" spans="1:4" s="167" customFormat="1" ht="24.75" customHeight="1">
      <c r="A83" s="543" t="s">
        <v>452</v>
      </c>
      <c r="B83" s="538">
        <v>100000</v>
      </c>
      <c r="C83" s="180">
        <f>'สำนักปลัด (2)'!R79</f>
        <v>97500</v>
      </c>
      <c r="D83" s="180">
        <f t="shared" si="1"/>
        <v>2500</v>
      </c>
    </row>
    <row r="84" spans="1:6" s="167" customFormat="1" ht="24.75" customHeight="1">
      <c r="A84" s="543" t="s">
        <v>400</v>
      </c>
      <c r="B84" s="645">
        <v>94000</v>
      </c>
      <c r="C84" s="180">
        <f>'สำนักปลัด (2)'!R80</f>
        <v>85243</v>
      </c>
      <c r="D84" s="180">
        <f t="shared" si="1"/>
        <v>8757</v>
      </c>
      <c r="F84" s="278"/>
    </row>
    <row r="85" spans="1:6" s="167" customFormat="1" ht="24.75" customHeight="1">
      <c r="A85" s="656" t="s">
        <v>4</v>
      </c>
      <c r="B85" s="518" t="s">
        <v>531</v>
      </c>
      <c r="C85" s="518" t="s">
        <v>532</v>
      </c>
      <c r="D85" s="518" t="s">
        <v>6</v>
      </c>
      <c r="F85" s="278"/>
    </row>
    <row r="86" spans="1:6" s="167" customFormat="1" ht="24.75" customHeight="1">
      <c r="A86" s="657"/>
      <c r="B86" s="521"/>
      <c r="C86" s="521" t="s">
        <v>533</v>
      </c>
      <c r="D86" s="521" t="s">
        <v>5</v>
      </c>
      <c r="F86" s="278"/>
    </row>
    <row r="87" spans="1:4" ht="24.75" customHeight="1">
      <c r="A87" s="529" t="s">
        <v>518</v>
      </c>
      <c r="B87" s="544"/>
      <c r="C87" s="180"/>
      <c r="D87" s="180">
        <f t="shared" si="1"/>
        <v>0</v>
      </c>
    </row>
    <row r="88" spans="1:5" ht="24.75" customHeight="1">
      <c r="A88" s="4" t="s">
        <v>161</v>
      </c>
      <c r="B88" s="538">
        <v>100000</v>
      </c>
      <c r="C88" s="180">
        <f>'สำนักปลัด (2)'!R82</f>
        <v>32451.379999999997</v>
      </c>
      <c r="D88" s="180">
        <f t="shared" si="1"/>
        <v>67548.62</v>
      </c>
      <c r="E88" s="315"/>
    </row>
    <row r="89" spans="1:6" ht="24.75" customHeight="1" thickBot="1">
      <c r="A89" s="526" t="s">
        <v>500</v>
      </c>
      <c r="B89" s="528">
        <f>SUM(B28:B88)</f>
        <v>2393000</v>
      </c>
      <c r="C89" s="528">
        <f>SUM(C28:C88)</f>
        <v>1885821.38</v>
      </c>
      <c r="D89" s="528">
        <f>SUM(D28:D88)</f>
        <v>507178.62</v>
      </c>
      <c r="E89" s="315"/>
      <c r="F89" s="315"/>
    </row>
    <row r="90" spans="1:4" ht="24.75" customHeight="1" thickTop="1">
      <c r="A90" s="529" t="s">
        <v>501</v>
      </c>
      <c r="B90" s="545"/>
      <c r="C90" s="535"/>
      <c r="D90" s="535"/>
    </row>
    <row r="91" spans="1:4" ht="24.75" customHeight="1">
      <c r="A91" s="529" t="s">
        <v>519</v>
      </c>
      <c r="B91" s="538">
        <v>75000</v>
      </c>
      <c r="C91" s="180">
        <f>'สำนักปลัด (2)'!R85</f>
        <v>75000</v>
      </c>
      <c r="D91" s="180">
        <f aca="true" t="shared" si="2" ref="D91:D101">B91-C91</f>
        <v>0</v>
      </c>
    </row>
    <row r="92" spans="1:4" ht="24.75" customHeight="1">
      <c r="A92" s="529" t="s">
        <v>520</v>
      </c>
      <c r="B92" s="538">
        <v>8000</v>
      </c>
      <c r="C92" s="180">
        <f>'สำนักปลัด (2)'!R86</f>
        <v>7930</v>
      </c>
      <c r="D92" s="180">
        <f t="shared" si="2"/>
        <v>70</v>
      </c>
    </row>
    <row r="93" spans="1:4" ht="24.75" customHeight="1">
      <c r="A93" s="529" t="s">
        <v>521</v>
      </c>
      <c r="B93" s="538">
        <v>35000</v>
      </c>
      <c r="C93" s="180">
        <f>'สำนักปลัด (2)'!R87</f>
        <v>23404</v>
      </c>
      <c r="D93" s="180">
        <f t="shared" si="2"/>
        <v>11596</v>
      </c>
    </row>
    <row r="94" spans="1:4" ht="24.75" customHeight="1">
      <c r="A94" s="529" t="s">
        <v>522</v>
      </c>
      <c r="B94" s="538">
        <v>8000</v>
      </c>
      <c r="C94" s="180">
        <f>'สำนักปลัด (2)'!R88</f>
        <v>1725</v>
      </c>
      <c r="D94" s="180">
        <f t="shared" si="2"/>
        <v>6275</v>
      </c>
    </row>
    <row r="95" spans="1:4" ht="24.75" customHeight="1">
      <c r="A95" s="529" t="s">
        <v>523</v>
      </c>
      <c r="B95" s="538">
        <v>35000</v>
      </c>
      <c r="C95" s="180">
        <f>'สำนักปลัด (2)'!R89</f>
        <v>3000</v>
      </c>
      <c r="D95" s="180">
        <f t="shared" si="2"/>
        <v>32000</v>
      </c>
    </row>
    <row r="96" spans="1:5" ht="24.75" customHeight="1">
      <c r="A96" s="529" t="s">
        <v>524</v>
      </c>
      <c r="B96" s="538">
        <v>100000</v>
      </c>
      <c r="C96" s="180">
        <f>'สำนักปลัด (2)'!R90</f>
        <v>93210</v>
      </c>
      <c r="D96" s="180">
        <f t="shared" si="2"/>
        <v>6790</v>
      </c>
      <c r="E96" s="315"/>
    </row>
    <row r="97" spans="1:4" ht="24.75" customHeight="1">
      <c r="A97" s="529" t="s">
        <v>525</v>
      </c>
      <c r="B97" s="538">
        <v>7000</v>
      </c>
      <c r="C97" s="180">
        <f>'สำนักปลัด (2)'!R91</f>
        <v>0</v>
      </c>
      <c r="D97" s="180">
        <f t="shared" si="2"/>
        <v>7000</v>
      </c>
    </row>
    <row r="98" spans="1:4" ht="24.75" customHeight="1">
      <c r="A98" s="529" t="s">
        <v>526</v>
      </c>
      <c r="B98" s="538">
        <v>5000</v>
      </c>
      <c r="C98" s="180">
        <f>'สำนักปลัด (2)'!R92</f>
        <v>0</v>
      </c>
      <c r="D98" s="180">
        <f t="shared" si="2"/>
        <v>5000</v>
      </c>
    </row>
    <row r="99" spans="1:4" ht="24.75" customHeight="1">
      <c r="A99" s="546" t="s">
        <v>527</v>
      </c>
      <c r="B99" s="538">
        <v>70000</v>
      </c>
      <c r="C99" s="180">
        <f>'สำนักปลัด (2)'!R93</f>
        <v>69640</v>
      </c>
      <c r="D99" s="180">
        <f t="shared" si="2"/>
        <v>360</v>
      </c>
    </row>
    <row r="100" spans="1:4" ht="24.75" customHeight="1">
      <c r="A100" s="529" t="s">
        <v>528</v>
      </c>
      <c r="B100" s="538">
        <v>10000</v>
      </c>
      <c r="C100" s="180">
        <f>'สำนักปลัด (2)'!R94</f>
        <v>9835</v>
      </c>
      <c r="D100" s="180">
        <f t="shared" si="2"/>
        <v>165</v>
      </c>
    </row>
    <row r="101" spans="1:4" ht="24.75" customHeight="1">
      <c r="A101" s="529" t="s">
        <v>529</v>
      </c>
      <c r="B101" s="547"/>
      <c r="C101" s="180">
        <f>'สำนักปลัด (2)'!R95</f>
        <v>0</v>
      </c>
      <c r="D101" s="180">
        <f t="shared" si="2"/>
        <v>0</v>
      </c>
    </row>
    <row r="102" spans="1:4" ht="24.75" customHeight="1" thickBot="1">
      <c r="A102" s="548" t="s">
        <v>502</v>
      </c>
      <c r="B102" s="528">
        <f>SUM(B91:B101)</f>
        <v>353000</v>
      </c>
      <c r="C102" s="549">
        <f>SUM(C91:C101)</f>
        <v>283744</v>
      </c>
      <c r="D102" s="549">
        <f>SUM(D91:D101)</f>
        <v>69256</v>
      </c>
    </row>
    <row r="103" spans="1:4" ht="24.75" customHeight="1" thickTop="1">
      <c r="A103" s="529" t="s">
        <v>503</v>
      </c>
      <c r="B103" s="550"/>
      <c r="C103" s="535"/>
      <c r="D103" s="535"/>
    </row>
    <row r="104" spans="1:6" ht="24.75" customHeight="1">
      <c r="A104" s="551" t="s">
        <v>504</v>
      </c>
      <c r="B104" s="538">
        <v>120000</v>
      </c>
      <c r="C104" s="180">
        <f>'สำนักปลัด (2)'!R98</f>
        <v>106779.53000000001</v>
      </c>
      <c r="D104" s="180">
        <f>B104-C104</f>
        <v>13220.469999999987</v>
      </c>
      <c r="F104" s="315"/>
    </row>
    <row r="105" spans="1:4" ht="24.75" customHeight="1">
      <c r="A105" s="551" t="s">
        <v>505</v>
      </c>
      <c r="B105" s="538">
        <v>50000</v>
      </c>
      <c r="C105" s="180">
        <f>'สำนักปลัด (2)'!R99</f>
        <v>41806.729999999996</v>
      </c>
      <c r="D105" s="180">
        <f>B105-C105</f>
        <v>8193.270000000004</v>
      </c>
    </row>
    <row r="106" spans="1:5" ht="24.75" customHeight="1">
      <c r="A106" s="551" t="s">
        <v>506</v>
      </c>
      <c r="B106" s="538">
        <v>15000</v>
      </c>
      <c r="C106" s="180">
        <f>'สำนักปลัด (2)'!R100</f>
        <v>0</v>
      </c>
      <c r="D106" s="180">
        <f>B106-C106</f>
        <v>15000</v>
      </c>
      <c r="E106" s="315"/>
    </row>
    <row r="107" spans="1:4" ht="24.75" customHeight="1">
      <c r="A107" s="551" t="s">
        <v>507</v>
      </c>
      <c r="B107" s="538">
        <v>10000</v>
      </c>
      <c r="C107" s="180">
        <f>'สำนักปลัด (2)'!R101</f>
        <v>3070</v>
      </c>
      <c r="D107" s="180">
        <f>B107-C107</f>
        <v>6930</v>
      </c>
    </row>
    <row r="108" spans="1:5" ht="24.75" customHeight="1">
      <c r="A108" s="551" t="s">
        <v>508</v>
      </c>
      <c r="B108" s="538">
        <v>40000</v>
      </c>
      <c r="C108" s="180">
        <f>'สำนักปลัด (2)'!R102</f>
        <v>19446.14</v>
      </c>
      <c r="D108" s="180">
        <f>B108-C108</f>
        <v>20553.86</v>
      </c>
      <c r="E108" s="315"/>
    </row>
    <row r="109" spans="1:5" ht="24.75" customHeight="1" thickBot="1">
      <c r="A109" s="548" t="s">
        <v>509</v>
      </c>
      <c r="B109" s="528">
        <f>SUM(B104:B108)</f>
        <v>235000</v>
      </c>
      <c r="C109" s="528">
        <f>SUM(C104:C108)</f>
        <v>171102.40000000002</v>
      </c>
      <c r="D109" s="528">
        <f>SUM(D104:D108)</f>
        <v>63897.59999999999</v>
      </c>
      <c r="E109" s="315"/>
    </row>
    <row r="110" spans="1:4" ht="24.75" customHeight="1" thickTop="1">
      <c r="A110" s="529" t="s">
        <v>239</v>
      </c>
      <c r="B110" s="552"/>
      <c r="C110" s="180"/>
      <c r="D110" s="180"/>
    </row>
    <row r="111" spans="1:4" ht="24.75" customHeight="1">
      <c r="A111" s="529" t="s">
        <v>240</v>
      </c>
      <c r="B111" s="552"/>
      <c r="C111" s="180"/>
      <c r="D111" s="180"/>
    </row>
    <row r="112" spans="1:4" ht="24.75" customHeight="1">
      <c r="A112" s="4" t="s">
        <v>416</v>
      </c>
      <c r="B112" s="553">
        <v>5500</v>
      </c>
      <c r="C112" s="180">
        <f>'สำนักปลัด (2)'!R106</f>
        <v>5500</v>
      </c>
      <c r="D112" s="180">
        <f aca="true" t="shared" si="3" ref="D112:D119">B112-C112</f>
        <v>0</v>
      </c>
    </row>
    <row r="113" spans="1:4" ht="24.75" customHeight="1">
      <c r="A113" s="4" t="s">
        <v>417</v>
      </c>
      <c r="B113" s="538">
        <v>4400</v>
      </c>
      <c r="C113" s="180">
        <f>'สำนักปลัด (2)'!R107</f>
        <v>4400</v>
      </c>
      <c r="D113" s="180">
        <f t="shared" si="3"/>
        <v>0</v>
      </c>
    </row>
    <row r="114" spans="1:4" ht="24.75" customHeight="1">
      <c r="A114" s="4" t="s">
        <v>418</v>
      </c>
      <c r="B114" s="538">
        <v>3500</v>
      </c>
      <c r="C114" s="180">
        <f>'สำนักปลัด (2)'!R108</f>
        <v>0</v>
      </c>
      <c r="D114" s="180">
        <f t="shared" si="3"/>
        <v>3500</v>
      </c>
    </row>
    <row r="115" spans="1:4" ht="24.75" customHeight="1">
      <c r="A115" s="4" t="s">
        <v>419</v>
      </c>
      <c r="B115" s="538">
        <v>3000</v>
      </c>
      <c r="C115" s="180">
        <f>'สำนักปลัด (2)'!R109</f>
        <v>3000</v>
      </c>
      <c r="D115" s="180">
        <f t="shared" si="3"/>
        <v>0</v>
      </c>
    </row>
    <row r="116" spans="1:5" ht="24.75" customHeight="1">
      <c r="A116" s="529" t="s">
        <v>510</v>
      </c>
      <c r="B116" s="552"/>
      <c r="C116" s="180">
        <f>'สำนักปลัด (2)'!R110</f>
        <v>0</v>
      </c>
      <c r="D116" s="180">
        <f t="shared" si="3"/>
        <v>0</v>
      </c>
      <c r="E116" s="315"/>
    </row>
    <row r="117" spans="1:4" ht="24.75" customHeight="1">
      <c r="A117" s="4" t="s">
        <v>420</v>
      </c>
      <c r="B117" s="538">
        <v>15000</v>
      </c>
      <c r="C117" s="180">
        <f>'สำนักปลัด (2)'!R111</f>
        <v>12990</v>
      </c>
      <c r="D117" s="180">
        <f t="shared" si="3"/>
        <v>2010</v>
      </c>
    </row>
    <row r="118" spans="1:4" ht="24.75" customHeight="1">
      <c r="A118" s="529" t="s">
        <v>511</v>
      </c>
      <c r="B118" s="552"/>
      <c r="C118" s="180">
        <f>'สำนักปลัด (2)'!R112</f>
        <v>0</v>
      </c>
      <c r="D118" s="180">
        <f t="shared" si="3"/>
        <v>0</v>
      </c>
    </row>
    <row r="119" spans="1:4" ht="24.75" customHeight="1">
      <c r="A119" s="4" t="s">
        <v>422</v>
      </c>
      <c r="B119" s="538">
        <v>9400</v>
      </c>
      <c r="C119" s="180">
        <f>'สำนักปลัด (2)'!R113</f>
        <v>7990</v>
      </c>
      <c r="D119" s="180">
        <f t="shared" si="3"/>
        <v>1410</v>
      </c>
    </row>
    <row r="120" spans="1:4" ht="24.75" customHeight="1" thickBot="1">
      <c r="A120" s="526" t="s">
        <v>512</v>
      </c>
      <c r="B120" s="554">
        <f>SUM(B112:B119)</f>
        <v>40800</v>
      </c>
      <c r="C120" s="554">
        <f>SUM(C112:C119)</f>
        <v>33880</v>
      </c>
      <c r="D120" s="554">
        <f>SUM(D112:D119)</f>
        <v>6920</v>
      </c>
    </row>
    <row r="121" spans="1:4" ht="24.75" customHeight="1" thickTop="1">
      <c r="A121" s="4" t="s">
        <v>233</v>
      </c>
      <c r="B121" s="530"/>
      <c r="C121" s="180"/>
      <c r="D121" s="180"/>
    </row>
    <row r="122" spans="1:4" ht="24.75" customHeight="1">
      <c r="A122" s="529" t="s">
        <v>277</v>
      </c>
      <c r="B122" s="540"/>
      <c r="C122" s="180"/>
      <c r="D122" s="180"/>
    </row>
    <row r="123" spans="1:4" ht="24.75" customHeight="1">
      <c r="A123" s="4" t="s">
        <v>423</v>
      </c>
      <c r="B123" s="538">
        <v>11000</v>
      </c>
      <c r="C123" s="180">
        <f>'สำนักปลัด (2)'!R117</f>
        <v>11000</v>
      </c>
      <c r="D123" s="180">
        <f>B123-C123</f>
        <v>0</v>
      </c>
    </row>
    <row r="124" spans="1:4" ht="24.75" customHeight="1" thickBot="1">
      <c r="A124" s="526" t="s">
        <v>513</v>
      </c>
      <c r="B124" s="570">
        <v>11000</v>
      </c>
      <c r="C124" s="555">
        <f>SUM(C122:C123)</f>
        <v>11000</v>
      </c>
      <c r="D124" s="555">
        <f>SUM(D122:D123)</f>
        <v>0</v>
      </c>
    </row>
    <row r="125" spans="1:4" ht="24.75" customHeight="1" thickTop="1">
      <c r="A125" s="531" t="s">
        <v>276</v>
      </c>
      <c r="B125" s="569">
        <v>18000</v>
      </c>
      <c r="C125" s="180">
        <f>'สำนักปลัด (2)'!R119</f>
        <v>18000</v>
      </c>
      <c r="D125" s="180">
        <v>0</v>
      </c>
    </row>
    <row r="126" spans="1:4" ht="24.75" customHeight="1" thickBot="1">
      <c r="A126" s="529"/>
      <c r="B126" s="556">
        <f>B18+B25+B89+B102+B109+B120+B124+B125</f>
        <v>9194350</v>
      </c>
      <c r="C126" s="556">
        <f>C18+C25+C89+C102+C109+C120+C124+C125</f>
        <v>8439631.530000001</v>
      </c>
      <c r="D126" s="556">
        <f>D18+D25+D89+D102+D109+D120+D124+D125</f>
        <v>754718.47</v>
      </c>
    </row>
    <row r="127" spans="1:4" ht="24.75" customHeight="1" thickTop="1">
      <c r="A127" s="557"/>
      <c r="B127" s="558"/>
      <c r="C127" s="559"/>
      <c r="D127" s="559"/>
    </row>
    <row r="128" spans="1:4" ht="24.75" customHeight="1">
      <c r="A128" s="560"/>
      <c r="B128" s="558"/>
      <c r="C128" s="559"/>
      <c r="D128" s="559"/>
    </row>
    <row r="129" spans="1:4" ht="24.75" customHeight="1">
      <c r="A129" s="560"/>
      <c r="B129" s="646"/>
      <c r="C129" s="438"/>
      <c r="D129" s="559"/>
    </row>
    <row r="130" spans="1:4" ht="24.75" customHeight="1">
      <c r="A130" s="560"/>
      <c r="B130" s="558"/>
      <c r="C130" s="559"/>
      <c r="D130" s="559"/>
    </row>
    <row r="131" spans="1:4" ht="24.75" customHeight="1">
      <c r="A131" s="560"/>
      <c r="B131" s="558"/>
      <c r="C131" s="559"/>
      <c r="D131" s="559"/>
    </row>
    <row r="132" spans="1:4" ht="24.75" customHeight="1">
      <c r="A132" s="560"/>
      <c r="B132" s="558"/>
      <c r="C132" s="559"/>
      <c r="D132" s="559"/>
    </row>
    <row r="133" spans="1:4" ht="24.75" customHeight="1">
      <c r="A133" s="560"/>
      <c r="B133" s="558"/>
      <c r="C133" s="559"/>
      <c r="D133" s="559"/>
    </row>
    <row r="134" spans="1:4" ht="24.75" customHeight="1">
      <c r="A134" s="560"/>
      <c r="B134" s="558"/>
      <c r="C134" s="559"/>
      <c r="D134" s="559"/>
    </row>
    <row r="135" spans="1:4" ht="24.75" customHeight="1">
      <c r="A135" s="560"/>
      <c r="B135" s="561"/>
      <c r="C135" s="559"/>
      <c r="D135" s="559"/>
    </row>
    <row r="136" spans="1:4" ht="24.75" customHeight="1">
      <c r="A136" s="560"/>
      <c r="B136" s="562"/>
      <c r="C136" s="559"/>
      <c r="D136" s="559"/>
    </row>
    <row r="137" spans="1:4" ht="24.75" customHeight="1">
      <c r="A137" s="560"/>
      <c r="B137" s="558"/>
      <c r="C137" s="559"/>
      <c r="D137" s="559"/>
    </row>
    <row r="138" spans="1:4" ht="24.75" customHeight="1">
      <c r="A138" s="560"/>
      <c r="B138" s="558"/>
      <c r="C138" s="559"/>
      <c r="D138" s="559"/>
    </row>
    <row r="139" spans="1:4" ht="24.75" customHeight="1">
      <c r="A139" s="560"/>
      <c r="B139" s="558"/>
      <c r="C139" s="559"/>
      <c r="D139" s="559"/>
    </row>
    <row r="140" spans="1:4" ht="24.75" customHeight="1">
      <c r="A140" s="560"/>
      <c r="B140" s="558"/>
      <c r="C140" s="559"/>
      <c r="D140" s="559"/>
    </row>
    <row r="141" spans="1:4" ht="24.75" customHeight="1">
      <c r="A141" s="563"/>
      <c r="B141" s="558"/>
      <c r="C141" s="559"/>
      <c r="D141" s="559"/>
    </row>
    <row r="142" spans="1:4" ht="24.75" customHeight="1">
      <c r="A142" s="560"/>
      <c r="B142" s="558"/>
      <c r="C142" s="559"/>
      <c r="D142" s="559"/>
    </row>
    <row r="143" spans="1:4" ht="24.75" customHeight="1">
      <c r="A143" s="560"/>
      <c r="B143" s="558"/>
      <c r="C143" s="559"/>
      <c r="D143" s="559"/>
    </row>
    <row r="144" spans="1:4" ht="24.75" customHeight="1">
      <c r="A144" s="564"/>
      <c r="B144" s="562"/>
      <c r="C144" s="564"/>
      <c r="D144" s="564"/>
    </row>
    <row r="145" spans="1:4" ht="24.75" customHeight="1">
      <c r="A145" s="560"/>
      <c r="B145" s="558"/>
      <c r="C145" s="559"/>
      <c r="D145" s="559"/>
    </row>
    <row r="146" spans="1:4" ht="24.75" customHeight="1">
      <c r="A146" s="563"/>
      <c r="B146" s="558"/>
      <c r="C146" s="559"/>
      <c r="D146" s="559"/>
    </row>
    <row r="147" spans="1:4" ht="24.75" customHeight="1">
      <c r="A147" s="560"/>
      <c r="B147" s="558"/>
      <c r="C147" s="559"/>
      <c r="D147" s="559"/>
    </row>
    <row r="148" spans="1:4" ht="24.75" customHeight="1">
      <c r="A148" s="557"/>
      <c r="B148" s="565"/>
      <c r="C148" s="559"/>
      <c r="D148" s="559"/>
    </row>
  </sheetData>
  <sheetProtection/>
  <mergeCells count="6">
    <mergeCell ref="A3:D3"/>
    <mergeCell ref="A4:A5"/>
    <mergeCell ref="A1:D1"/>
    <mergeCell ref="A2:D2"/>
    <mergeCell ref="A43:A44"/>
    <mergeCell ref="A85:A86"/>
  </mergeCells>
  <printOptions verticalCentered="1"/>
  <pageMargins left="0.6299212598425197" right="0.1968503937007874" top="0.5905511811023623" bottom="0.5905511811023623" header="0.1968503937007874" footer="0.03937007874015748"/>
  <pageSetup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zoomScaleSheetLayoutView="100" zoomScalePageLayoutView="0" workbookViewId="0" topLeftCell="A1">
      <selection activeCell="A73" sqref="A73"/>
    </sheetView>
  </sheetViews>
  <sheetFormatPr defaultColWidth="9.140625" defaultRowHeight="23.25"/>
  <cols>
    <col min="1" max="1" width="63.00390625" style="167" customWidth="1"/>
    <col min="2" max="4" width="18.57421875" style="167" customWidth="1"/>
    <col min="5" max="6" width="11.28125" style="167" bestFit="1" customWidth="1"/>
    <col min="7" max="16384" width="9.140625" style="167" customWidth="1"/>
  </cols>
  <sheetData>
    <row r="1" spans="1:5" ht="24" customHeight="1">
      <c r="A1" s="655" t="s">
        <v>552</v>
      </c>
      <c r="B1" s="655"/>
      <c r="C1" s="655"/>
      <c r="D1" s="655"/>
      <c r="E1" s="622"/>
    </row>
    <row r="2" spans="1:5" ht="24" customHeight="1">
      <c r="A2" s="655" t="s">
        <v>579</v>
      </c>
      <c r="B2" s="655"/>
      <c r="C2" s="655"/>
      <c r="D2" s="655"/>
      <c r="E2" s="622"/>
    </row>
    <row r="3" spans="1:5" ht="24" customHeight="1">
      <c r="A3" s="655" t="s">
        <v>569</v>
      </c>
      <c r="B3" s="655"/>
      <c r="C3" s="655"/>
      <c r="D3" s="655"/>
      <c r="E3" s="622"/>
    </row>
    <row r="4" spans="1:5" ht="21" customHeight="1">
      <c r="A4" s="656" t="s">
        <v>4</v>
      </c>
      <c r="B4" s="518" t="s">
        <v>531</v>
      </c>
      <c r="C4" s="518" t="s">
        <v>532</v>
      </c>
      <c r="D4" s="518" t="s">
        <v>6</v>
      </c>
      <c r="E4" s="175"/>
    </row>
    <row r="5" spans="1:5" ht="21" customHeight="1">
      <c r="A5" s="657"/>
      <c r="B5" s="521"/>
      <c r="C5" s="521" t="s">
        <v>533</v>
      </c>
      <c r="D5" s="521" t="s">
        <v>5</v>
      </c>
      <c r="E5" s="175"/>
    </row>
    <row r="6" spans="1:4" ht="21" customHeight="1">
      <c r="A6" s="522" t="s">
        <v>556</v>
      </c>
      <c r="B6" s="550"/>
      <c r="C6" s="603"/>
      <c r="D6" s="602"/>
    </row>
    <row r="7" spans="1:5" ht="21" customHeight="1">
      <c r="A7" s="522" t="s">
        <v>570</v>
      </c>
      <c r="B7" s="577">
        <f>297830-50</f>
        <v>297780</v>
      </c>
      <c r="C7" s="180">
        <f>ส่วนศึกษา!T9</f>
        <v>174857</v>
      </c>
      <c r="D7" s="180">
        <f>B7-C7</f>
        <v>122923</v>
      </c>
      <c r="E7" s="278"/>
    </row>
    <row r="8" spans="1:4" ht="21" customHeight="1">
      <c r="A8" s="581" t="s">
        <v>582</v>
      </c>
      <c r="B8" s="577">
        <f>266700+50</f>
        <v>266750</v>
      </c>
      <c r="C8" s="180">
        <f>'ส่วนศึกษา (2)'!R6</f>
        <v>266750</v>
      </c>
      <c r="D8" s="180">
        <f>B8-C8</f>
        <v>0</v>
      </c>
    </row>
    <row r="9" spans="1:4" ht="21" customHeight="1">
      <c r="A9" s="581" t="s">
        <v>558</v>
      </c>
      <c r="B9" s="577">
        <v>42000</v>
      </c>
      <c r="C9" s="180">
        <f>'ส่วนศึกษา (2)'!R7</f>
        <v>17500</v>
      </c>
      <c r="D9" s="180">
        <f>B9-C9</f>
        <v>24500</v>
      </c>
    </row>
    <row r="10" spans="1:4" ht="21" customHeight="1" thickBot="1">
      <c r="A10" s="581"/>
      <c r="B10" s="608">
        <f>SUM(B7:B9)</f>
        <v>606530</v>
      </c>
      <c r="C10" s="580">
        <f>SUM(C7:C9)</f>
        <v>459107</v>
      </c>
      <c r="D10" s="580">
        <f>SUM(D7:D9)</f>
        <v>147423</v>
      </c>
    </row>
    <row r="11" spans="1:4" ht="21" customHeight="1" thickTop="1">
      <c r="A11" s="581" t="s">
        <v>18</v>
      </c>
      <c r="B11" s="591"/>
      <c r="C11" s="623"/>
      <c r="D11" s="623"/>
    </row>
    <row r="12" spans="1:4" ht="21" customHeight="1">
      <c r="A12" s="581" t="s">
        <v>571</v>
      </c>
      <c r="B12" s="624"/>
      <c r="C12" s="577"/>
      <c r="D12" s="577"/>
    </row>
    <row r="13" spans="1:4" ht="21" customHeight="1">
      <c r="A13" s="163" t="s">
        <v>42</v>
      </c>
      <c r="B13" s="541">
        <v>155000</v>
      </c>
      <c r="C13" s="180">
        <f>'ส่วนศึกษา (2)'!R11</f>
        <v>144600</v>
      </c>
      <c r="D13" s="180">
        <f>B13-C13</f>
        <v>10400</v>
      </c>
    </row>
    <row r="14" spans="1:4" ht="21" customHeight="1">
      <c r="A14" s="163" t="s">
        <v>43</v>
      </c>
      <c r="B14" s="577">
        <v>15420</v>
      </c>
      <c r="C14" s="180">
        <f>'ส่วนศึกษา (2)'!R12</f>
        <v>14820</v>
      </c>
      <c r="D14" s="180">
        <f>B14-C14</f>
        <v>600</v>
      </c>
    </row>
    <row r="15" spans="1:4" ht="21" customHeight="1" thickBot="1">
      <c r="A15" s="163"/>
      <c r="B15" s="608">
        <f>SUM(B13:B14)</f>
        <v>170420</v>
      </c>
      <c r="C15" s="528">
        <f>SUM(C13:C14)</f>
        <v>159420</v>
      </c>
      <c r="D15" s="528">
        <f>SUM(D13:D14)</f>
        <v>11000</v>
      </c>
    </row>
    <row r="16" spans="1:4" ht="21" customHeight="1" thickTop="1">
      <c r="A16" s="581" t="s">
        <v>256</v>
      </c>
      <c r="B16" s="591"/>
      <c r="C16" s="577"/>
      <c r="D16" s="577"/>
    </row>
    <row r="17" spans="1:4" ht="21" customHeight="1">
      <c r="A17" s="581" t="s">
        <v>572</v>
      </c>
      <c r="B17" s="541">
        <v>3762</v>
      </c>
      <c r="C17" s="180">
        <f>'ส่วนศึกษา (2)'!R15</f>
        <v>2890</v>
      </c>
      <c r="D17" s="180">
        <f>B17-C17</f>
        <v>872</v>
      </c>
    </row>
    <row r="18" spans="1:4" ht="21" customHeight="1">
      <c r="A18" s="581" t="s">
        <v>573</v>
      </c>
      <c r="B18" s="541">
        <v>36000</v>
      </c>
      <c r="C18" s="180">
        <f>'ส่วนศึกษา (2)'!R16</f>
        <v>24000</v>
      </c>
      <c r="D18" s="180">
        <f>B18-C18</f>
        <v>12000</v>
      </c>
    </row>
    <row r="19" spans="1:5" ht="21" customHeight="1" thickBot="1">
      <c r="A19" s="581"/>
      <c r="B19" s="608">
        <f>SUM(B17:B18)</f>
        <v>39762</v>
      </c>
      <c r="C19" s="580">
        <f>SUM(C17:C18)</f>
        <v>26890</v>
      </c>
      <c r="D19" s="580">
        <f>SUM(D17:D18)</f>
        <v>12872</v>
      </c>
      <c r="E19" s="278"/>
    </row>
    <row r="20" spans="1:4" ht="21" customHeight="1" thickTop="1">
      <c r="A20" s="581" t="s">
        <v>223</v>
      </c>
      <c r="B20" s="625"/>
      <c r="C20" s="623"/>
      <c r="D20" s="623"/>
    </row>
    <row r="21" spans="1:4" ht="21" customHeight="1">
      <c r="A21" s="581" t="s">
        <v>514</v>
      </c>
      <c r="B21" s="583"/>
      <c r="C21" s="577"/>
      <c r="D21" s="577"/>
    </row>
    <row r="22" spans="1:5" ht="21" customHeight="1">
      <c r="A22" s="585" t="s">
        <v>199</v>
      </c>
      <c r="B22" s="626">
        <v>20000</v>
      </c>
      <c r="C22" s="180">
        <f>'ส่วนศึกษา (2)'!R20</f>
        <v>0</v>
      </c>
      <c r="D22" s="180">
        <f>B22-C22</f>
        <v>20000</v>
      </c>
      <c r="E22" s="278"/>
    </row>
    <row r="23" spans="1:5" ht="21" customHeight="1">
      <c r="A23" s="163" t="s">
        <v>16</v>
      </c>
      <c r="B23" s="541">
        <v>45000</v>
      </c>
      <c r="C23" s="180">
        <f>'ส่วนศึกษา (2)'!R21</f>
        <v>39200</v>
      </c>
      <c r="D23" s="180">
        <f>B23-C23</f>
        <v>5800</v>
      </c>
      <c r="E23" s="278"/>
    </row>
    <row r="24" spans="1:4" ht="21" customHeight="1" thickBot="1">
      <c r="A24" s="163"/>
      <c r="B24" s="627">
        <f>SUM(B22:B23)</f>
        <v>65000</v>
      </c>
      <c r="C24" s="580">
        <f>SUM(C22:C23)</f>
        <v>39200</v>
      </c>
      <c r="D24" s="580">
        <f>SUM(D22:D23)</f>
        <v>25800</v>
      </c>
    </row>
    <row r="25" spans="1:4" ht="20.25" customHeight="1" thickTop="1">
      <c r="A25" s="581" t="s">
        <v>574</v>
      </c>
      <c r="B25" s="583"/>
      <c r="C25" s="577"/>
      <c r="D25" s="577"/>
    </row>
    <row r="26" spans="1:5" ht="20.25" customHeight="1">
      <c r="A26" s="585" t="s">
        <v>575</v>
      </c>
      <c r="B26" s="541">
        <v>10000</v>
      </c>
      <c r="C26" s="180">
        <f>'ส่วนศึกษา (2)'!R24</f>
        <v>4885</v>
      </c>
      <c r="D26" s="180">
        <f aca="true" t="shared" si="0" ref="D26:D44">B26-C26</f>
        <v>5115</v>
      </c>
      <c r="E26" s="278"/>
    </row>
    <row r="27" spans="1:5" ht="20.25" customHeight="1">
      <c r="A27" s="585" t="s">
        <v>576</v>
      </c>
      <c r="B27" s="541">
        <v>25000</v>
      </c>
      <c r="C27" s="180">
        <f>'ส่วนศึกษา (2)'!R25</f>
        <v>3458</v>
      </c>
      <c r="D27" s="180">
        <f t="shared" si="0"/>
        <v>21542</v>
      </c>
      <c r="E27" s="278"/>
    </row>
    <row r="28" spans="1:6" ht="20.25" customHeight="1">
      <c r="A28" s="163" t="s">
        <v>366</v>
      </c>
      <c r="B28" s="541">
        <v>50000</v>
      </c>
      <c r="C28" s="180">
        <f>'ส่วนศึกษา (2)'!R26</f>
        <v>49940</v>
      </c>
      <c r="D28" s="180">
        <f t="shared" si="0"/>
        <v>60</v>
      </c>
      <c r="E28" s="278"/>
      <c r="F28" s="278"/>
    </row>
    <row r="29" spans="1:5" ht="20.25" customHeight="1">
      <c r="A29" s="163" t="s">
        <v>427</v>
      </c>
      <c r="B29" s="541">
        <v>20000</v>
      </c>
      <c r="C29" s="180">
        <f>'ส่วนศึกษา (2)'!R27</f>
        <v>19810</v>
      </c>
      <c r="D29" s="180">
        <f t="shared" si="0"/>
        <v>190</v>
      </c>
      <c r="E29" s="278"/>
    </row>
    <row r="30" spans="1:4" ht="20.25" customHeight="1">
      <c r="A30" s="163" t="s">
        <v>283</v>
      </c>
      <c r="B30" s="541">
        <v>5000</v>
      </c>
      <c r="C30" s="180">
        <f>'ส่วนศึกษา (2)'!R28</f>
        <v>0</v>
      </c>
      <c r="D30" s="180">
        <f t="shared" si="0"/>
        <v>5000</v>
      </c>
    </row>
    <row r="31" spans="1:5" ht="20.25" customHeight="1">
      <c r="A31" s="163" t="s">
        <v>307</v>
      </c>
      <c r="B31" s="541">
        <v>10000</v>
      </c>
      <c r="C31" s="180">
        <f>'ส่วนศึกษา (2)'!R29</f>
        <v>9984</v>
      </c>
      <c r="D31" s="180">
        <f t="shared" si="0"/>
        <v>16</v>
      </c>
      <c r="E31" s="278"/>
    </row>
    <row r="32" spans="1:4" ht="20.25" customHeight="1">
      <c r="A32" s="163" t="s">
        <v>367</v>
      </c>
      <c r="B32" s="541">
        <v>10000</v>
      </c>
      <c r="C32" s="180">
        <f>'ส่วนศึกษา (2)'!R30</f>
        <v>9890</v>
      </c>
      <c r="D32" s="180">
        <f t="shared" si="0"/>
        <v>110</v>
      </c>
    </row>
    <row r="33" spans="1:5" ht="20.25" customHeight="1">
      <c r="A33" s="163" t="s">
        <v>308</v>
      </c>
      <c r="B33" s="541">
        <v>165960</v>
      </c>
      <c r="C33" s="180">
        <f>'ส่วนศึกษา (2)'!R31</f>
        <v>122760</v>
      </c>
      <c r="D33" s="180">
        <f t="shared" si="0"/>
        <v>43200</v>
      </c>
      <c r="E33" s="278"/>
    </row>
    <row r="34" spans="1:5" ht="20.25" customHeight="1">
      <c r="A34" s="163" t="s">
        <v>309</v>
      </c>
      <c r="B34" s="541">
        <v>54400</v>
      </c>
      <c r="C34" s="180">
        <f>'ส่วนศึกษา (2)'!R32</f>
        <v>54400</v>
      </c>
      <c r="D34" s="180">
        <f t="shared" si="0"/>
        <v>0</v>
      </c>
      <c r="E34" s="278"/>
    </row>
    <row r="35" spans="1:6" ht="20.25" customHeight="1">
      <c r="A35" s="163" t="s">
        <v>285</v>
      </c>
      <c r="B35" s="541">
        <v>5000</v>
      </c>
      <c r="C35" s="180">
        <f>'ส่วนศึกษา (2)'!R33</f>
        <v>4085</v>
      </c>
      <c r="D35" s="180">
        <f t="shared" si="0"/>
        <v>915</v>
      </c>
      <c r="E35" s="278"/>
      <c r="F35" s="278"/>
    </row>
    <row r="36" spans="1:5" ht="20.25" customHeight="1">
      <c r="A36" s="163" t="s">
        <v>455</v>
      </c>
      <c r="B36" s="541">
        <v>50000</v>
      </c>
      <c r="C36" s="180">
        <f>'ส่วนศึกษา (2)'!R34</f>
        <v>50000</v>
      </c>
      <c r="D36" s="180">
        <f t="shared" si="0"/>
        <v>0</v>
      </c>
      <c r="E36" s="278"/>
    </row>
    <row r="37" spans="1:5" ht="20.25" customHeight="1">
      <c r="A37" s="163" t="s">
        <v>486</v>
      </c>
      <c r="B37" s="541">
        <v>60000</v>
      </c>
      <c r="C37" s="180">
        <f>'ส่วนศึกษา (2)'!R35</f>
        <v>0</v>
      </c>
      <c r="D37" s="180">
        <f t="shared" si="0"/>
        <v>60000</v>
      </c>
      <c r="E37" s="278"/>
    </row>
    <row r="38" spans="1:5" ht="20.25" customHeight="1">
      <c r="A38" s="163" t="s">
        <v>292</v>
      </c>
      <c r="B38" s="541">
        <v>10000</v>
      </c>
      <c r="C38" s="180">
        <f>'ส่วนศึกษา (2)'!R36</f>
        <v>8995</v>
      </c>
      <c r="D38" s="180">
        <f t="shared" si="0"/>
        <v>1005</v>
      </c>
      <c r="E38" s="278"/>
    </row>
    <row r="39" spans="1:6" ht="20.25" customHeight="1">
      <c r="A39" s="163" t="s">
        <v>293</v>
      </c>
      <c r="B39" s="541">
        <v>50000</v>
      </c>
      <c r="C39" s="180">
        <f>'ส่วนศึกษา (2)'!R37</f>
        <v>18639.34</v>
      </c>
      <c r="D39" s="180">
        <f t="shared" si="0"/>
        <v>31360.66</v>
      </c>
      <c r="E39" s="278"/>
      <c r="F39" s="278"/>
    </row>
    <row r="40" spans="1:5" ht="20.25" customHeight="1">
      <c r="A40" s="163" t="s">
        <v>384</v>
      </c>
      <c r="B40" s="541">
        <v>30000</v>
      </c>
      <c r="C40" s="180">
        <f>'ส่วนศึกษา (2)'!R38</f>
        <v>29200</v>
      </c>
      <c r="D40" s="180">
        <f t="shared" si="0"/>
        <v>800</v>
      </c>
      <c r="E40" s="278"/>
    </row>
    <row r="41" spans="1:5" ht="20.25" customHeight="1">
      <c r="A41" s="163" t="s">
        <v>385</v>
      </c>
      <c r="B41" s="541">
        <v>18000</v>
      </c>
      <c r="C41" s="180">
        <f>'ส่วนศึกษา (2)'!R39</f>
        <v>18000</v>
      </c>
      <c r="D41" s="180">
        <f t="shared" si="0"/>
        <v>0</v>
      </c>
      <c r="E41" s="278"/>
    </row>
    <row r="42" spans="1:5" ht="20.25" customHeight="1">
      <c r="A42" s="163" t="s">
        <v>312</v>
      </c>
      <c r="B42" s="541">
        <v>10000</v>
      </c>
      <c r="C42" s="180">
        <f>'ส่วนศึกษา (2)'!R40</f>
        <v>10000</v>
      </c>
      <c r="D42" s="180">
        <f t="shared" si="0"/>
        <v>0</v>
      </c>
      <c r="E42" s="278"/>
    </row>
    <row r="43" spans="1:4" ht="20.25" customHeight="1">
      <c r="A43" s="163" t="s">
        <v>386</v>
      </c>
      <c r="B43" s="541">
        <v>20000</v>
      </c>
      <c r="C43" s="180">
        <f>'ส่วนศึกษา (2)'!R41</f>
        <v>19420</v>
      </c>
      <c r="D43" s="180">
        <f t="shared" si="0"/>
        <v>580</v>
      </c>
    </row>
    <row r="44" spans="1:4" ht="20.25" customHeight="1">
      <c r="A44" s="163" t="s">
        <v>456</v>
      </c>
      <c r="B44" s="541">
        <v>30000</v>
      </c>
      <c r="C44" s="180">
        <f>'ส่วนศึกษา (2)'!R42</f>
        <v>0</v>
      </c>
      <c r="D44" s="180">
        <f t="shared" si="0"/>
        <v>30000</v>
      </c>
    </row>
    <row r="45" spans="1:5" ht="20.25" customHeight="1" thickBot="1">
      <c r="A45" s="185"/>
      <c r="B45" s="554">
        <f>SUM(B26:B44)</f>
        <v>633360</v>
      </c>
      <c r="C45" s="580">
        <f>SUM(C26:C44)</f>
        <v>433466.34</v>
      </c>
      <c r="D45" s="580">
        <f>SUM(D26:D44)</f>
        <v>199893.66</v>
      </c>
      <c r="E45" s="278"/>
    </row>
    <row r="46" spans="1:5" ht="20.25" customHeight="1" thickTop="1">
      <c r="A46" s="614"/>
      <c r="B46" s="633"/>
      <c r="C46" s="618"/>
      <c r="D46" s="618"/>
      <c r="E46" s="278"/>
    </row>
    <row r="47" spans="1:5" ht="20.25" customHeight="1">
      <c r="A47" s="656" t="s">
        <v>4</v>
      </c>
      <c r="B47" s="518" t="s">
        <v>531</v>
      </c>
      <c r="C47" s="518" t="s">
        <v>532</v>
      </c>
      <c r="D47" s="518" t="s">
        <v>6</v>
      </c>
      <c r="E47" s="278"/>
    </row>
    <row r="48" spans="1:5" ht="20.25" customHeight="1" thickBot="1">
      <c r="A48" s="657"/>
      <c r="B48" s="521"/>
      <c r="C48" s="521" t="s">
        <v>533</v>
      </c>
      <c r="D48" s="521" t="s">
        <v>5</v>
      </c>
      <c r="E48" s="278"/>
    </row>
    <row r="49" spans="1:5" ht="20.25" customHeight="1" thickTop="1">
      <c r="A49" s="581" t="s">
        <v>577</v>
      </c>
      <c r="B49" s="591"/>
      <c r="C49" s="534"/>
      <c r="D49" s="534"/>
      <c r="E49" s="278"/>
    </row>
    <row r="50" spans="1:4" ht="20.25" customHeight="1">
      <c r="A50" s="585" t="s">
        <v>161</v>
      </c>
      <c r="B50" s="626">
        <v>15000</v>
      </c>
      <c r="C50" s="180">
        <f>'ส่วนศึกษา (2)'!R45</f>
        <v>3400</v>
      </c>
      <c r="D50" s="180">
        <f>B50-C50</f>
        <v>11600</v>
      </c>
    </row>
    <row r="51" spans="1:4" ht="20.25" customHeight="1" thickBot="1">
      <c r="A51" s="163"/>
      <c r="B51" s="576">
        <f>B50</f>
        <v>15000</v>
      </c>
      <c r="C51" s="580">
        <f>C50</f>
        <v>3400</v>
      </c>
      <c r="D51" s="580">
        <f>D50</f>
        <v>11600</v>
      </c>
    </row>
    <row r="52" spans="1:4" ht="20.25" customHeight="1" thickBot="1" thickTop="1">
      <c r="A52" s="163"/>
      <c r="B52" s="554">
        <f>B24+B45+B51</f>
        <v>713360</v>
      </c>
      <c r="C52" s="580">
        <f>C24+C45+C51</f>
        <v>476066.34</v>
      </c>
      <c r="D52" s="580">
        <f>D24+D45+D51</f>
        <v>237293.66</v>
      </c>
    </row>
    <row r="53" spans="1:4" ht="21" customHeight="1" thickTop="1">
      <c r="A53" s="581" t="s">
        <v>249</v>
      </c>
      <c r="B53" s="591"/>
      <c r="C53" s="180"/>
      <c r="D53" s="180"/>
    </row>
    <row r="54" spans="1:4" ht="21" customHeight="1">
      <c r="A54" s="581" t="s">
        <v>269</v>
      </c>
      <c r="B54" s="541">
        <v>30000</v>
      </c>
      <c r="C54" s="180">
        <f>'ส่วนศึกษา (2)'!R49</f>
        <v>30000</v>
      </c>
      <c r="D54" s="180">
        <f>B54-C54</f>
        <v>0</v>
      </c>
    </row>
    <row r="55" spans="1:4" ht="21" customHeight="1">
      <c r="A55" s="581" t="s">
        <v>270</v>
      </c>
      <c r="B55" s="628">
        <v>25000</v>
      </c>
      <c r="C55" s="180">
        <f>'ส่วนศึกษา (2)'!R50</f>
        <v>21576</v>
      </c>
      <c r="D55" s="180">
        <f>B55-C55</f>
        <v>3424</v>
      </c>
    </row>
    <row r="56" spans="1:4" ht="21" customHeight="1">
      <c r="A56" s="581" t="s">
        <v>426</v>
      </c>
      <c r="B56" s="628">
        <v>15000</v>
      </c>
      <c r="C56" s="180">
        <f>'ส่วนศึกษา (2)'!R51</f>
        <v>13180</v>
      </c>
      <c r="D56" s="180">
        <f>B56-C56</f>
        <v>1820</v>
      </c>
    </row>
    <row r="57" spans="1:4" ht="21" customHeight="1">
      <c r="A57" s="581" t="s">
        <v>280</v>
      </c>
      <c r="B57" s="629"/>
      <c r="C57" s="180"/>
      <c r="D57" s="180"/>
    </row>
    <row r="58" spans="1:5" ht="21" customHeight="1">
      <c r="A58" s="585" t="s">
        <v>583</v>
      </c>
      <c r="B58" s="628">
        <v>268743</v>
      </c>
      <c r="C58" s="180">
        <f>'ส่วนศึกษา (2)'!R53</f>
        <v>264636.62</v>
      </c>
      <c r="D58" s="180">
        <f>B58-C58</f>
        <v>4106.380000000005</v>
      </c>
      <c r="E58" s="278"/>
    </row>
    <row r="59" spans="1:6" ht="21" customHeight="1">
      <c r="A59" s="585" t="s">
        <v>584</v>
      </c>
      <c r="B59" s="628"/>
      <c r="C59" s="180"/>
      <c r="D59" s="180"/>
      <c r="E59" s="278"/>
      <c r="F59" s="647"/>
    </row>
    <row r="60" spans="1:6" ht="21" customHeight="1">
      <c r="A60" s="585" t="s">
        <v>585</v>
      </c>
      <c r="B60" s="541"/>
      <c r="C60" s="180"/>
      <c r="D60" s="180"/>
      <c r="F60" s="278"/>
    </row>
    <row r="61" spans="1:4" ht="21" customHeight="1" thickBot="1">
      <c r="A61" s="581"/>
      <c r="B61" s="554">
        <f>SUM(B54:B60)</f>
        <v>338743</v>
      </c>
      <c r="C61" s="580">
        <f>SUM(C54:C60)</f>
        <v>329392.62</v>
      </c>
      <c r="D61" s="580">
        <f>SUM(D54:D60)</f>
        <v>9350.380000000005</v>
      </c>
    </row>
    <row r="62" spans="1:6" ht="21" customHeight="1" thickTop="1">
      <c r="A62" s="581" t="s">
        <v>271</v>
      </c>
      <c r="B62" s="591"/>
      <c r="C62" s="180"/>
      <c r="D62" s="180"/>
      <c r="F62" s="278"/>
    </row>
    <row r="63" spans="1:4" ht="21" customHeight="1">
      <c r="A63" s="581" t="s">
        <v>578</v>
      </c>
      <c r="B63" s="583"/>
      <c r="C63" s="180"/>
      <c r="D63" s="180"/>
    </row>
    <row r="64" spans="1:4" ht="21" customHeight="1">
      <c r="A64" s="163" t="s">
        <v>395</v>
      </c>
      <c r="B64" s="577">
        <v>162840</v>
      </c>
      <c r="C64" s="180">
        <f>'ส่วนศึกษา (2)'!R59</f>
        <v>162000</v>
      </c>
      <c r="D64" s="180">
        <f>B64-C64</f>
        <v>840</v>
      </c>
    </row>
    <row r="65" spans="1:4" ht="21" customHeight="1">
      <c r="A65" s="163" t="s">
        <v>396</v>
      </c>
      <c r="B65" s="648">
        <v>238000</v>
      </c>
      <c r="C65" s="180">
        <f>'ส่วนศึกษา (2)'!R60</f>
        <v>236000</v>
      </c>
      <c r="D65" s="180">
        <f>B65-C65</f>
        <v>2000</v>
      </c>
    </row>
    <row r="66" spans="1:5" ht="21" customHeight="1" thickBot="1">
      <c r="A66" s="630"/>
      <c r="B66" s="554">
        <f>SUM(B64:B65)</f>
        <v>400840</v>
      </c>
      <c r="C66" s="554">
        <f>SUM(C64:C65)</f>
        <v>398000</v>
      </c>
      <c r="D66" s="554">
        <f>SUM(D64:D65)</f>
        <v>2840</v>
      </c>
      <c r="E66" s="278"/>
    </row>
    <row r="67" spans="1:4" ht="24.75" thickBot="1" thickTop="1">
      <c r="A67" s="581"/>
      <c r="B67" s="572">
        <f>B10+B15+B19+B24+B45+B51+B61+B66</f>
        <v>2269655</v>
      </c>
      <c r="C67" s="572">
        <f>C10+C15+C19+C24+C45+C51+C61+C66</f>
        <v>1848875.96</v>
      </c>
      <c r="D67" s="572">
        <f>D10+D15+D19+D24+D45+D51+D61+D66</f>
        <v>420779.04000000004</v>
      </c>
    </row>
    <row r="68" spans="1:4" ht="24" thickTop="1">
      <c r="A68" s="631"/>
      <c r="B68" s="614"/>
      <c r="C68" s="175"/>
      <c r="D68" s="175"/>
    </row>
    <row r="69" spans="1:4" ht="23.25">
      <c r="A69" s="619"/>
      <c r="B69" s="290"/>
      <c r="C69" s="290"/>
      <c r="D69" s="290"/>
    </row>
    <row r="70" spans="1:4" ht="23.25">
      <c r="A70" s="619"/>
      <c r="B70" s="618"/>
      <c r="C70" s="649"/>
      <c r="D70" s="650"/>
    </row>
    <row r="71" spans="1:4" ht="23.25">
      <c r="A71" s="632"/>
      <c r="B71" s="290"/>
      <c r="C71" s="290"/>
      <c r="D71" s="175"/>
    </row>
    <row r="72" spans="1:4" ht="23.25">
      <c r="A72" s="278"/>
      <c r="B72" s="175"/>
      <c r="C72" s="175"/>
      <c r="D72" s="175"/>
    </row>
    <row r="73" spans="1:4" ht="23.25">
      <c r="A73" s="619"/>
      <c r="B73" s="175"/>
      <c r="C73" s="175"/>
      <c r="D73" s="175"/>
    </row>
    <row r="74" spans="1:4" ht="23.25">
      <c r="A74" s="619"/>
      <c r="B74" s="175"/>
      <c r="C74" s="175"/>
      <c r="D74" s="175"/>
    </row>
    <row r="75" spans="1:4" ht="23.25">
      <c r="A75" s="632"/>
      <c r="B75" s="175"/>
      <c r="C75" s="175"/>
      <c r="D75" s="175"/>
    </row>
    <row r="76" spans="1:4" ht="23.25">
      <c r="A76" s="632"/>
      <c r="B76" s="175"/>
      <c r="C76" s="175"/>
      <c r="D76" s="175"/>
    </row>
    <row r="77" spans="1:4" ht="23.25">
      <c r="A77" s="632"/>
      <c r="B77" s="175"/>
      <c r="C77" s="618"/>
      <c r="D77" s="292"/>
    </row>
    <row r="78" spans="1:4" ht="23.25">
      <c r="A78" s="175"/>
      <c r="B78" s="175"/>
      <c r="C78" s="175"/>
      <c r="D78" s="175"/>
    </row>
    <row r="79" spans="1:4" ht="23.25">
      <c r="A79" s="175"/>
      <c r="B79" s="175"/>
      <c r="C79" s="175"/>
      <c r="D79" s="175"/>
    </row>
    <row r="80" spans="1:4" ht="23.25">
      <c r="A80" s="175"/>
      <c r="B80" s="175"/>
      <c r="C80" s="175"/>
      <c r="D80" s="175"/>
    </row>
    <row r="81" spans="1:4" ht="23.25">
      <c r="A81" s="175"/>
      <c r="B81" s="175"/>
      <c r="C81" s="175"/>
      <c r="D81" s="175"/>
    </row>
    <row r="82" spans="1:4" ht="23.25">
      <c r="A82" s="175"/>
      <c r="B82" s="175"/>
      <c r="C82" s="175"/>
      <c r="D82" s="175"/>
    </row>
    <row r="83" spans="1:4" ht="23.25">
      <c r="A83" s="290"/>
      <c r="B83" s="175"/>
      <c r="C83" s="175"/>
      <c r="D83" s="175"/>
    </row>
    <row r="84" spans="1:4" ht="23.25">
      <c r="A84" s="290"/>
      <c r="B84" s="292"/>
      <c r="C84" s="175"/>
      <c r="D84" s="175"/>
    </row>
    <row r="85" spans="1:4" ht="23.25">
      <c r="A85" s="175"/>
      <c r="B85" s="175"/>
      <c r="C85" s="175"/>
      <c r="D85" s="175"/>
    </row>
    <row r="86" spans="1:4" ht="23.25">
      <c r="A86" s="175"/>
      <c r="B86" s="175"/>
      <c r="C86" s="175"/>
      <c r="D86" s="175"/>
    </row>
    <row r="87" spans="1:4" ht="23.25">
      <c r="A87" s="175"/>
      <c r="B87" s="175"/>
      <c r="C87" s="175"/>
      <c r="D87" s="175"/>
    </row>
    <row r="88" spans="1:4" ht="23.25">
      <c r="A88" s="175"/>
      <c r="B88" s="175"/>
      <c r="C88" s="175"/>
      <c r="D88" s="175"/>
    </row>
    <row r="89" spans="1:4" ht="23.25">
      <c r="A89" s="175"/>
      <c r="B89" s="175"/>
      <c r="C89" s="175"/>
      <c r="D89" s="175"/>
    </row>
    <row r="90" spans="1:4" ht="23.25">
      <c r="A90" s="175"/>
      <c r="B90" s="175"/>
      <c r="C90" s="175"/>
      <c r="D90" s="175"/>
    </row>
    <row r="91" spans="1:4" ht="23.25">
      <c r="A91" s="175"/>
      <c r="B91" s="175"/>
      <c r="C91" s="175"/>
      <c r="D91" s="175"/>
    </row>
    <row r="92" spans="1:4" ht="23.25">
      <c r="A92" s="175"/>
      <c r="B92" s="175"/>
      <c r="C92" s="175"/>
      <c r="D92" s="175"/>
    </row>
    <row r="94" ht="23.25">
      <c r="A94" s="278"/>
    </row>
    <row r="95" ht="23.25">
      <c r="A95" s="278"/>
    </row>
  </sheetData>
  <sheetProtection/>
  <mergeCells count="5">
    <mergeCell ref="A47:A48"/>
    <mergeCell ref="A1:D1"/>
    <mergeCell ref="A4:A5"/>
    <mergeCell ref="A2:D2"/>
    <mergeCell ref="A3:D3"/>
  </mergeCells>
  <printOptions/>
  <pageMargins left="0.4724409448818898" right="0.15748031496062992" top="0.3937007874015748" bottom="0.3937007874015748" header="0.9448818897637796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136"/>
  <sheetViews>
    <sheetView zoomScaleSheetLayoutView="100" zoomScalePageLayoutView="0" workbookViewId="0" topLeftCell="C52">
      <selection activeCell="D11" sqref="D11"/>
    </sheetView>
  </sheetViews>
  <sheetFormatPr defaultColWidth="9.140625" defaultRowHeight="23.25"/>
  <cols>
    <col min="1" max="1" width="37.7109375" style="167" customWidth="1"/>
    <col min="2" max="2" width="13.421875" style="167" customWidth="1"/>
    <col min="3" max="3" width="7.7109375" style="167" customWidth="1"/>
    <col min="4" max="4" width="10.140625" style="167" customWidth="1"/>
    <col min="5" max="5" width="10.421875" style="167" customWidth="1"/>
    <col min="6" max="6" width="10.28125" style="167" bestFit="1" customWidth="1"/>
    <col min="7" max="7" width="8.7109375" style="167" bestFit="1" customWidth="1"/>
    <col min="8" max="9" width="9.00390625" style="167" customWidth="1"/>
    <col min="10" max="10" width="9.140625" style="167" customWidth="1"/>
    <col min="11" max="11" width="9.00390625" style="167" customWidth="1"/>
    <col min="12" max="12" width="8.7109375" style="167" bestFit="1" customWidth="1"/>
    <col min="13" max="13" width="9.00390625" style="167" customWidth="1"/>
    <col min="14" max="14" width="9.421875" style="167" customWidth="1"/>
    <col min="15" max="15" width="8.421875" style="167" customWidth="1"/>
    <col min="16" max="16" width="8.7109375" style="167" customWidth="1"/>
    <col min="17" max="17" width="8.57421875" style="167" customWidth="1"/>
    <col min="18" max="18" width="11.00390625" style="167" customWidth="1"/>
    <col min="19" max="19" width="10.57421875" style="167" customWidth="1"/>
    <col min="20" max="21" width="11.28125" style="167" bestFit="1" customWidth="1"/>
    <col min="22" max="16384" width="9.140625" style="167" customWidth="1"/>
  </cols>
  <sheetData>
    <row r="1" spans="1:20" ht="21" customHeight="1">
      <c r="A1" s="739" t="s">
        <v>490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6"/>
    </row>
    <row r="2" spans="1:20" ht="21" customHeight="1">
      <c r="A2" s="659" t="s">
        <v>4</v>
      </c>
      <c r="B2" s="94"/>
      <c r="C2" s="120" t="s">
        <v>9</v>
      </c>
      <c r="D2" s="120" t="s">
        <v>9</v>
      </c>
      <c r="E2" s="121" t="s">
        <v>25</v>
      </c>
      <c r="F2" s="120" t="s">
        <v>26</v>
      </c>
      <c r="G2" s="121" t="s">
        <v>27</v>
      </c>
      <c r="H2" s="120" t="s">
        <v>28</v>
      </c>
      <c r="I2" s="121" t="s">
        <v>29</v>
      </c>
      <c r="J2" s="120" t="s">
        <v>30</v>
      </c>
      <c r="K2" s="121" t="s">
        <v>31</v>
      </c>
      <c r="L2" s="120" t="s">
        <v>32</v>
      </c>
      <c r="M2" s="121" t="s">
        <v>33</v>
      </c>
      <c r="N2" s="120" t="s">
        <v>34</v>
      </c>
      <c r="O2" s="121" t="s">
        <v>35</v>
      </c>
      <c r="P2" s="120" t="s">
        <v>36</v>
      </c>
      <c r="Q2" s="120" t="s">
        <v>37</v>
      </c>
      <c r="R2" s="120" t="s">
        <v>25</v>
      </c>
      <c r="S2" s="125" t="s">
        <v>6</v>
      </c>
      <c r="T2" s="175"/>
    </row>
    <row r="3" spans="1:20" ht="21" customHeight="1">
      <c r="A3" s="660"/>
      <c r="B3" s="94" t="s">
        <v>46</v>
      </c>
      <c r="C3" s="95" t="s">
        <v>10</v>
      </c>
      <c r="D3" s="95" t="s">
        <v>11</v>
      </c>
      <c r="E3" s="96"/>
      <c r="F3" s="182"/>
      <c r="G3" s="172"/>
      <c r="H3" s="182"/>
      <c r="I3" s="172"/>
      <c r="J3" s="182"/>
      <c r="K3" s="172"/>
      <c r="L3" s="182"/>
      <c r="M3" s="172"/>
      <c r="N3" s="182"/>
      <c r="O3" s="172"/>
      <c r="P3" s="182"/>
      <c r="Q3" s="182"/>
      <c r="R3" s="95"/>
      <c r="S3" s="99" t="s">
        <v>5</v>
      </c>
      <c r="T3" s="175"/>
    </row>
    <row r="4" spans="1:19" ht="21" customHeight="1">
      <c r="A4" s="7" t="s">
        <v>56</v>
      </c>
      <c r="B4" s="511"/>
      <c r="C4" s="1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43"/>
      <c r="S4" s="22"/>
    </row>
    <row r="5" spans="1:20" ht="21" customHeight="1">
      <c r="A5" s="7" t="s">
        <v>57</v>
      </c>
      <c r="B5" s="52">
        <f>297830-50</f>
        <v>297780</v>
      </c>
      <c r="C5" s="37"/>
      <c r="D5" s="52">
        <v>0</v>
      </c>
      <c r="E5" s="52">
        <f>+B5+C5-D5</f>
        <v>297780</v>
      </c>
      <c r="F5" s="52">
        <v>21140</v>
      </c>
      <c r="G5" s="52">
        <v>21140</v>
      </c>
      <c r="H5" s="52">
        <v>21140</v>
      </c>
      <c r="I5" s="52">
        <v>21140</v>
      </c>
      <c r="J5" s="52">
        <v>21140</v>
      </c>
      <c r="K5" s="52">
        <v>21140</v>
      </c>
      <c r="L5" s="52">
        <v>21500</v>
      </c>
      <c r="M5" s="52">
        <v>21500</v>
      </c>
      <c r="N5" s="52">
        <v>5017</v>
      </c>
      <c r="O5" s="52">
        <v>0</v>
      </c>
      <c r="P5" s="52">
        <v>0</v>
      </c>
      <c r="Q5" s="52">
        <v>0</v>
      </c>
      <c r="R5" s="135">
        <f>SUM(F5:Q5)</f>
        <v>174857</v>
      </c>
      <c r="S5" s="135">
        <f>+E5-R5</f>
        <v>122923</v>
      </c>
      <c r="T5" s="278"/>
    </row>
    <row r="6" spans="1:19" s="460" customFormat="1" ht="21" customHeight="1">
      <c r="A6" s="463" t="s">
        <v>482</v>
      </c>
      <c r="B6" s="459">
        <f>266700+50</f>
        <v>266750</v>
      </c>
      <c r="C6" s="444">
        <v>0</v>
      </c>
      <c r="D6" s="459"/>
      <c r="E6" s="459">
        <f>B6+C6-D6</f>
        <v>266750</v>
      </c>
      <c r="F6" s="459">
        <v>22000</v>
      </c>
      <c r="G6" s="459">
        <v>22000</v>
      </c>
      <c r="H6" s="459">
        <v>22000</v>
      </c>
      <c r="I6" s="459">
        <v>22000</v>
      </c>
      <c r="J6" s="459">
        <v>22000</v>
      </c>
      <c r="K6" s="459">
        <v>22000</v>
      </c>
      <c r="L6" s="459">
        <v>22450</v>
      </c>
      <c r="M6" s="459">
        <v>22450</v>
      </c>
      <c r="N6" s="459">
        <v>22450</v>
      </c>
      <c r="O6" s="459">
        <v>22450</v>
      </c>
      <c r="P6" s="459">
        <v>22490</v>
      </c>
      <c r="Q6" s="459">
        <v>22460</v>
      </c>
      <c r="R6" s="447">
        <f>SUM(F6:Q6)</f>
        <v>266750</v>
      </c>
      <c r="S6" s="447">
        <f>+E6-R6</f>
        <v>0</v>
      </c>
    </row>
    <row r="7" spans="1:19" ht="21" customHeight="1">
      <c r="A7" s="105" t="s">
        <v>251</v>
      </c>
      <c r="B7" s="52">
        <v>42000</v>
      </c>
      <c r="C7" s="52"/>
      <c r="D7" s="52"/>
      <c r="E7" s="52">
        <f>+B7+C7-D7</f>
        <v>42000</v>
      </c>
      <c r="F7" s="52">
        <v>0</v>
      </c>
      <c r="G7" s="52"/>
      <c r="H7" s="52"/>
      <c r="I7" s="52"/>
      <c r="J7" s="52"/>
      <c r="K7" s="52"/>
      <c r="L7" s="52"/>
      <c r="M7" s="52"/>
      <c r="N7" s="52"/>
      <c r="O7" s="52"/>
      <c r="P7" s="52">
        <v>14000</v>
      </c>
      <c r="Q7" s="52">
        <v>3500</v>
      </c>
      <c r="R7" s="135">
        <f>SUM(F7:Q7)</f>
        <v>17500</v>
      </c>
      <c r="S7" s="135">
        <f>+E7-R7</f>
        <v>24500</v>
      </c>
    </row>
    <row r="8" spans="1:19" ht="21" customHeight="1" thickBot="1">
      <c r="A8" s="105"/>
      <c r="B8" s="599">
        <f>SUM(B5:B7)</f>
        <v>606530</v>
      </c>
      <c r="C8" s="52"/>
      <c r="D8" s="52"/>
      <c r="E8" s="91">
        <f>SUM(E5:E7)</f>
        <v>606530</v>
      </c>
      <c r="F8" s="91">
        <f aca="true" t="shared" si="0" ref="F8:S8">SUM(F5:F7)</f>
        <v>43140</v>
      </c>
      <c r="G8" s="91">
        <f t="shared" si="0"/>
        <v>43140</v>
      </c>
      <c r="H8" s="91">
        <f t="shared" si="0"/>
        <v>43140</v>
      </c>
      <c r="I8" s="91">
        <f t="shared" si="0"/>
        <v>43140</v>
      </c>
      <c r="J8" s="91">
        <f t="shared" si="0"/>
        <v>43140</v>
      </c>
      <c r="K8" s="91">
        <f t="shared" si="0"/>
        <v>43140</v>
      </c>
      <c r="L8" s="91">
        <f t="shared" si="0"/>
        <v>43950</v>
      </c>
      <c r="M8" s="91">
        <f t="shared" si="0"/>
        <v>43950</v>
      </c>
      <c r="N8" s="91">
        <f t="shared" si="0"/>
        <v>27467</v>
      </c>
      <c r="O8" s="91">
        <f t="shared" si="0"/>
        <v>22450</v>
      </c>
      <c r="P8" s="91">
        <f>SUM(P5:P7)</f>
        <v>36490</v>
      </c>
      <c r="Q8" s="91">
        <f t="shared" si="0"/>
        <v>25960</v>
      </c>
      <c r="R8" s="91">
        <f t="shared" si="0"/>
        <v>459107</v>
      </c>
      <c r="S8" s="91">
        <f t="shared" si="0"/>
        <v>147423</v>
      </c>
    </row>
    <row r="9" spans="1:19" ht="21" customHeight="1" thickTop="1">
      <c r="A9" s="105" t="s">
        <v>18</v>
      </c>
      <c r="B9" s="595"/>
      <c r="C9" s="36"/>
      <c r="D9" s="52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21" customHeight="1">
      <c r="A10" s="105" t="s">
        <v>59</v>
      </c>
      <c r="B10" s="517"/>
      <c r="C10" s="3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s="460" customFormat="1" ht="21" customHeight="1">
      <c r="A11" s="466" t="s">
        <v>42</v>
      </c>
      <c r="B11" s="458">
        <v>155000</v>
      </c>
      <c r="C11" s="458">
        <v>0</v>
      </c>
      <c r="D11" s="459">
        <v>0</v>
      </c>
      <c r="E11" s="459">
        <f>+B11+C11-D11</f>
        <v>155000</v>
      </c>
      <c r="F11" s="459">
        <v>0</v>
      </c>
      <c r="G11" s="459">
        <f>12050*2</f>
        <v>24100</v>
      </c>
      <c r="H11" s="459">
        <v>12050</v>
      </c>
      <c r="I11" s="459">
        <v>12050</v>
      </c>
      <c r="J11" s="459">
        <v>12050</v>
      </c>
      <c r="K11" s="459">
        <v>12050</v>
      </c>
      <c r="L11" s="459">
        <v>12050</v>
      </c>
      <c r="M11" s="459">
        <v>12050</v>
      </c>
      <c r="N11" s="459">
        <v>12050</v>
      </c>
      <c r="O11" s="459">
        <v>12050</v>
      </c>
      <c r="P11" s="459">
        <v>12050</v>
      </c>
      <c r="Q11" s="459">
        <v>12050</v>
      </c>
      <c r="R11" s="447">
        <f>SUM(F11:Q11)</f>
        <v>144600</v>
      </c>
      <c r="S11" s="447">
        <f>+E11-R11</f>
        <v>10400</v>
      </c>
    </row>
    <row r="12" spans="1:19" s="460" customFormat="1" ht="21" customHeight="1">
      <c r="A12" s="466" t="s">
        <v>43</v>
      </c>
      <c r="B12" s="459">
        <v>15420</v>
      </c>
      <c r="C12" s="459"/>
      <c r="D12" s="459"/>
      <c r="E12" s="459">
        <f>+B12+C12-D12</f>
        <v>15420</v>
      </c>
      <c r="F12" s="459">
        <v>0</v>
      </c>
      <c r="G12" s="459">
        <f>1235*2</f>
        <v>2470</v>
      </c>
      <c r="H12" s="459">
        <v>1235</v>
      </c>
      <c r="I12" s="459">
        <v>1235</v>
      </c>
      <c r="J12" s="459">
        <v>1235</v>
      </c>
      <c r="K12" s="459">
        <v>1235</v>
      </c>
      <c r="L12" s="459">
        <v>1235</v>
      </c>
      <c r="M12" s="459">
        <v>1235</v>
      </c>
      <c r="N12" s="459">
        <v>1235</v>
      </c>
      <c r="O12" s="459">
        <v>1235</v>
      </c>
      <c r="P12" s="459">
        <v>1235</v>
      </c>
      <c r="Q12" s="459">
        <v>1235</v>
      </c>
      <c r="R12" s="447">
        <f>SUM(F12:Q12)</f>
        <v>14820</v>
      </c>
      <c r="S12" s="447">
        <f>+E12-R12</f>
        <v>600</v>
      </c>
    </row>
    <row r="13" spans="1:19" ht="21" customHeight="1" thickBot="1">
      <c r="A13" s="144"/>
      <c r="B13" s="599">
        <f>SUM(B11:B12)</f>
        <v>170420</v>
      </c>
      <c r="C13" s="52"/>
      <c r="D13" s="198"/>
      <c r="E13" s="91">
        <f>SUM(E11:E12)</f>
        <v>170420</v>
      </c>
      <c r="F13" s="208">
        <f aca="true" t="shared" si="1" ref="F13:S13">SUM(F11:F12)</f>
        <v>0</v>
      </c>
      <c r="G13" s="208">
        <f t="shared" si="1"/>
        <v>26570</v>
      </c>
      <c r="H13" s="208">
        <f t="shared" si="1"/>
        <v>13285</v>
      </c>
      <c r="I13" s="208">
        <f t="shared" si="1"/>
        <v>13285</v>
      </c>
      <c r="J13" s="208">
        <f t="shared" si="1"/>
        <v>13285</v>
      </c>
      <c r="K13" s="136">
        <f t="shared" si="1"/>
        <v>13285</v>
      </c>
      <c r="L13" s="136">
        <f t="shared" si="1"/>
        <v>13285</v>
      </c>
      <c r="M13" s="136">
        <f t="shared" si="1"/>
        <v>13285</v>
      </c>
      <c r="N13" s="136">
        <f t="shared" si="1"/>
        <v>13285</v>
      </c>
      <c r="O13" s="136">
        <f t="shared" si="1"/>
        <v>13285</v>
      </c>
      <c r="P13" s="136">
        <f t="shared" si="1"/>
        <v>13285</v>
      </c>
      <c r="Q13" s="136">
        <f t="shared" si="1"/>
        <v>13285</v>
      </c>
      <c r="R13" s="136">
        <f t="shared" si="1"/>
        <v>159420</v>
      </c>
      <c r="S13" s="136">
        <f t="shared" si="1"/>
        <v>11000</v>
      </c>
    </row>
    <row r="14" spans="1:19" ht="21" customHeight="1" thickTop="1">
      <c r="A14" s="105" t="s">
        <v>256</v>
      </c>
      <c r="B14" s="595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21" customHeight="1">
      <c r="A15" s="105" t="s">
        <v>567</v>
      </c>
      <c r="B15" s="36">
        <v>3762</v>
      </c>
      <c r="C15" s="36"/>
      <c r="D15" s="52"/>
      <c r="E15" s="52">
        <f>+B15+C15-D15</f>
        <v>3762</v>
      </c>
      <c r="F15" s="52">
        <v>0</v>
      </c>
      <c r="G15" s="52">
        <v>0</v>
      </c>
      <c r="H15" s="52">
        <v>1200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1690</v>
      </c>
      <c r="O15" s="52">
        <v>0</v>
      </c>
      <c r="P15" s="52">
        <v>0</v>
      </c>
      <c r="Q15" s="52">
        <v>0</v>
      </c>
      <c r="R15" s="135">
        <f>SUM(F15:Q15)</f>
        <v>2890</v>
      </c>
      <c r="S15" s="135">
        <f>+E15-R15</f>
        <v>872</v>
      </c>
    </row>
    <row r="16" spans="1:19" ht="21" customHeight="1">
      <c r="A16" s="105" t="s">
        <v>568</v>
      </c>
      <c r="B16" s="36">
        <v>36000</v>
      </c>
      <c r="C16" s="36"/>
      <c r="D16" s="52"/>
      <c r="E16" s="52">
        <f>+B16+C16-D16</f>
        <v>36000</v>
      </c>
      <c r="F16" s="52">
        <v>0</v>
      </c>
      <c r="G16" s="52">
        <v>3000</v>
      </c>
      <c r="H16" s="52">
        <v>3000</v>
      </c>
      <c r="I16" s="52">
        <v>3000</v>
      </c>
      <c r="J16" s="52">
        <v>3000</v>
      </c>
      <c r="K16" s="52">
        <v>3000</v>
      </c>
      <c r="L16" s="52">
        <v>3000</v>
      </c>
      <c r="M16" s="52">
        <v>3000</v>
      </c>
      <c r="N16" s="52">
        <v>3000</v>
      </c>
      <c r="O16" s="52">
        <v>0</v>
      </c>
      <c r="P16" s="52">
        <v>0</v>
      </c>
      <c r="Q16" s="52">
        <v>0</v>
      </c>
      <c r="R16" s="135">
        <f>SUM(F16:Q16)</f>
        <v>24000</v>
      </c>
      <c r="S16" s="135">
        <f>+E16-R16</f>
        <v>12000</v>
      </c>
    </row>
    <row r="17" spans="1:20" ht="21" customHeight="1" thickBot="1">
      <c r="A17" s="105"/>
      <c r="B17" s="599">
        <f>SUM(B15:B16)</f>
        <v>39762</v>
      </c>
      <c r="C17" s="36"/>
      <c r="D17" s="52"/>
      <c r="E17" s="91">
        <f aca="true" t="shared" si="2" ref="E17:S17">SUM(E15:E16)</f>
        <v>39762</v>
      </c>
      <c r="F17" s="91">
        <f t="shared" si="2"/>
        <v>0</v>
      </c>
      <c r="G17" s="91">
        <f t="shared" si="2"/>
        <v>3000</v>
      </c>
      <c r="H17" s="91">
        <f t="shared" si="2"/>
        <v>4200</v>
      </c>
      <c r="I17" s="91">
        <f t="shared" si="2"/>
        <v>3000</v>
      </c>
      <c r="J17" s="91">
        <f t="shared" si="2"/>
        <v>3000</v>
      </c>
      <c r="K17" s="91">
        <f t="shared" si="2"/>
        <v>3000</v>
      </c>
      <c r="L17" s="91">
        <f t="shared" si="2"/>
        <v>3000</v>
      </c>
      <c r="M17" s="91">
        <f t="shared" si="2"/>
        <v>3000</v>
      </c>
      <c r="N17" s="91">
        <f t="shared" si="2"/>
        <v>4690</v>
      </c>
      <c r="O17" s="91">
        <f t="shared" si="2"/>
        <v>0</v>
      </c>
      <c r="P17" s="91">
        <f t="shared" si="2"/>
        <v>0</v>
      </c>
      <c r="Q17" s="91">
        <f t="shared" si="2"/>
        <v>0</v>
      </c>
      <c r="R17" s="91">
        <f t="shared" si="2"/>
        <v>26890</v>
      </c>
      <c r="S17" s="91">
        <f t="shared" si="2"/>
        <v>12872</v>
      </c>
      <c r="T17" s="278"/>
    </row>
    <row r="18" spans="1:19" ht="21" customHeight="1" thickTop="1">
      <c r="A18" s="105" t="s">
        <v>223</v>
      </c>
      <c r="B18" s="621"/>
      <c r="C18" s="36"/>
      <c r="D18" s="52"/>
      <c r="E18" s="9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90"/>
      <c r="S18" s="90"/>
    </row>
    <row r="19" spans="1:19" ht="21" customHeight="1">
      <c r="A19" s="105" t="s">
        <v>267</v>
      </c>
      <c r="B19" s="513"/>
      <c r="C19" s="3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20" ht="21" customHeight="1">
      <c r="A20" s="160" t="s">
        <v>199</v>
      </c>
      <c r="B20" s="286">
        <v>20000</v>
      </c>
      <c r="C20" s="36"/>
      <c r="D20" s="52"/>
      <c r="E20" s="52">
        <f>+B20+C20-D20</f>
        <v>20000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135">
        <f>SUM(F20:Q20)</f>
        <v>0</v>
      </c>
      <c r="S20" s="135">
        <f>+E20-R20</f>
        <v>20000</v>
      </c>
      <c r="T20" s="278"/>
    </row>
    <row r="21" spans="1:20" ht="21" customHeight="1">
      <c r="A21" s="144" t="s">
        <v>16</v>
      </c>
      <c r="B21" s="36">
        <v>45000</v>
      </c>
      <c r="C21" s="36">
        <v>0</v>
      </c>
      <c r="D21" s="52"/>
      <c r="E21" s="52">
        <f>+B21+C21-D21</f>
        <v>45000</v>
      </c>
      <c r="F21" s="52">
        <v>0</v>
      </c>
      <c r="G21" s="52">
        <v>1900</v>
      </c>
      <c r="H21" s="52">
        <v>29500</v>
      </c>
      <c r="I21" s="52">
        <v>0</v>
      </c>
      <c r="J21" s="52">
        <v>0</v>
      </c>
      <c r="K21" s="52">
        <v>0</v>
      </c>
      <c r="L21" s="52">
        <v>7800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135">
        <f>SUM(F21:Q21)</f>
        <v>39200</v>
      </c>
      <c r="S21" s="135">
        <f>+E21-R21</f>
        <v>5800</v>
      </c>
      <c r="T21" s="278"/>
    </row>
    <row r="22" spans="1:19" ht="21" customHeight="1" thickBot="1">
      <c r="A22" s="144"/>
      <c r="B22" s="187">
        <f>SUM(B20:B21)</f>
        <v>65000</v>
      </c>
      <c r="C22" s="36"/>
      <c r="D22" s="52"/>
      <c r="E22" s="91">
        <f aca="true" t="shared" si="3" ref="E22:S22">SUM(E20:E21)</f>
        <v>65000</v>
      </c>
      <c r="F22" s="91">
        <f t="shared" si="3"/>
        <v>0</v>
      </c>
      <c r="G22" s="91">
        <f t="shared" si="3"/>
        <v>1900</v>
      </c>
      <c r="H22" s="91">
        <f t="shared" si="3"/>
        <v>29500</v>
      </c>
      <c r="I22" s="91">
        <f t="shared" si="3"/>
        <v>0</v>
      </c>
      <c r="J22" s="91">
        <f t="shared" si="3"/>
        <v>0</v>
      </c>
      <c r="K22" s="91">
        <f t="shared" si="3"/>
        <v>0</v>
      </c>
      <c r="L22" s="91">
        <f t="shared" si="3"/>
        <v>7800</v>
      </c>
      <c r="M22" s="91">
        <f t="shared" si="3"/>
        <v>0</v>
      </c>
      <c r="N22" s="91">
        <f t="shared" si="3"/>
        <v>0</v>
      </c>
      <c r="O22" s="91">
        <f t="shared" si="3"/>
        <v>0</v>
      </c>
      <c r="P22" s="91">
        <f t="shared" si="3"/>
        <v>0</v>
      </c>
      <c r="Q22" s="91">
        <f t="shared" si="3"/>
        <v>0</v>
      </c>
      <c r="R22" s="91">
        <f t="shared" si="3"/>
        <v>39200</v>
      </c>
      <c r="S22" s="91">
        <f t="shared" si="3"/>
        <v>25800</v>
      </c>
    </row>
    <row r="23" spans="1:19" ht="20.25" customHeight="1" thickTop="1">
      <c r="A23" s="105" t="s">
        <v>314</v>
      </c>
      <c r="B23" s="513"/>
      <c r="C23" s="3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20" ht="20.25" customHeight="1">
      <c r="A24" s="160" t="s">
        <v>281</v>
      </c>
      <c r="B24" s="36">
        <v>10000</v>
      </c>
      <c r="C24" s="36"/>
      <c r="D24" s="52"/>
      <c r="E24" s="52">
        <f aca="true" t="shared" si="4" ref="E24:E42">+B24+C24-D24</f>
        <v>10000</v>
      </c>
      <c r="F24" s="52">
        <v>0</v>
      </c>
      <c r="G24" s="52">
        <v>0</v>
      </c>
      <c r="H24" s="52">
        <v>0</v>
      </c>
      <c r="I24" s="52">
        <f>2980+225+1680</f>
        <v>4885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135">
        <f aca="true" t="shared" si="5" ref="R24:R42">SUM(F24:Q24)</f>
        <v>4885</v>
      </c>
      <c r="S24" s="135">
        <f aca="true" t="shared" si="6" ref="S24:S42">+E24-R24</f>
        <v>5115</v>
      </c>
      <c r="T24" s="278"/>
    </row>
    <row r="25" spans="1:20" ht="20.25" customHeight="1">
      <c r="A25" s="160" t="s">
        <v>68</v>
      </c>
      <c r="B25" s="36">
        <v>25000</v>
      </c>
      <c r="C25" s="36"/>
      <c r="D25" s="52"/>
      <c r="E25" s="52">
        <f t="shared" si="4"/>
        <v>25000</v>
      </c>
      <c r="F25" s="52">
        <v>0</v>
      </c>
      <c r="G25" s="52">
        <v>0</v>
      </c>
      <c r="H25" s="52">
        <v>0</v>
      </c>
      <c r="I25" s="52">
        <v>0</v>
      </c>
      <c r="J25" s="52">
        <v>1190</v>
      </c>
      <c r="K25" s="52">
        <v>0</v>
      </c>
      <c r="L25" s="52">
        <v>1868</v>
      </c>
      <c r="M25" s="52">
        <v>400</v>
      </c>
      <c r="N25" s="52">
        <v>0</v>
      </c>
      <c r="O25" s="52">
        <v>0</v>
      </c>
      <c r="P25" s="52">
        <v>0</v>
      </c>
      <c r="Q25" s="52">
        <v>0</v>
      </c>
      <c r="R25" s="135">
        <f t="shared" si="5"/>
        <v>3458</v>
      </c>
      <c r="S25" s="135">
        <f t="shared" si="6"/>
        <v>21542</v>
      </c>
      <c r="T25" s="278"/>
    </row>
    <row r="26" spans="1:21" ht="20.25" customHeight="1">
      <c r="A26" s="144" t="s">
        <v>366</v>
      </c>
      <c r="B26" s="36">
        <v>50000</v>
      </c>
      <c r="C26" s="36"/>
      <c r="D26" s="52"/>
      <c r="E26" s="52">
        <f t="shared" si="4"/>
        <v>50000</v>
      </c>
      <c r="F26" s="52">
        <v>0</v>
      </c>
      <c r="G26" s="52">
        <v>0</v>
      </c>
      <c r="H26" s="52">
        <v>0</v>
      </c>
      <c r="I26" s="52">
        <f>2700+14940+15000+7300+10000</f>
        <v>49940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135">
        <f t="shared" si="5"/>
        <v>49940</v>
      </c>
      <c r="S26" s="135">
        <f t="shared" si="6"/>
        <v>60</v>
      </c>
      <c r="T26" s="278"/>
      <c r="U26" s="278"/>
    </row>
    <row r="27" spans="1:20" ht="20.25" customHeight="1">
      <c r="A27" s="144" t="s">
        <v>427</v>
      </c>
      <c r="B27" s="36">
        <v>20000</v>
      </c>
      <c r="C27" s="36"/>
      <c r="D27" s="52"/>
      <c r="E27" s="52">
        <f t="shared" si="4"/>
        <v>20000</v>
      </c>
      <c r="F27" s="52">
        <v>0</v>
      </c>
      <c r="G27" s="52">
        <v>0</v>
      </c>
      <c r="H27" s="52">
        <v>0</v>
      </c>
      <c r="I27" s="52">
        <f>450+3500+1000+5000</f>
        <v>9950</v>
      </c>
      <c r="J27" s="52">
        <v>9860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135">
        <f t="shared" si="5"/>
        <v>19810</v>
      </c>
      <c r="S27" s="135">
        <f t="shared" si="6"/>
        <v>190</v>
      </c>
      <c r="T27" s="278"/>
    </row>
    <row r="28" spans="1:19" ht="20.25" customHeight="1">
      <c r="A28" s="144" t="s">
        <v>283</v>
      </c>
      <c r="B28" s="36">
        <v>5000</v>
      </c>
      <c r="C28" s="36"/>
      <c r="D28" s="52"/>
      <c r="E28" s="52">
        <f t="shared" si="4"/>
        <v>5000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135">
        <f t="shared" si="5"/>
        <v>0</v>
      </c>
      <c r="S28" s="135">
        <f t="shared" si="6"/>
        <v>5000</v>
      </c>
    </row>
    <row r="29" spans="1:20" s="460" customFormat="1" ht="20.25" customHeight="1">
      <c r="A29" s="466" t="s">
        <v>307</v>
      </c>
      <c r="B29" s="458">
        <v>10000</v>
      </c>
      <c r="C29" s="458"/>
      <c r="D29" s="459"/>
      <c r="E29" s="459">
        <f t="shared" si="4"/>
        <v>10000</v>
      </c>
      <c r="F29" s="459">
        <v>0</v>
      </c>
      <c r="G29" s="459">
        <v>0</v>
      </c>
      <c r="H29" s="459">
        <v>0</v>
      </c>
      <c r="I29" s="459">
        <v>0</v>
      </c>
      <c r="J29" s="459">
        <v>0</v>
      </c>
      <c r="K29" s="459">
        <v>0</v>
      </c>
      <c r="L29" s="459">
        <v>0</v>
      </c>
      <c r="M29" s="459">
        <v>0</v>
      </c>
      <c r="N29" s="459">
        <v>0</v>
      </c>
      <c r="O29" s="459">
        <v>0</v>
      </c>
      <c r="P29" s="459">
        <v>0</v>
      </c>
      <c r="Q29" s="459">
        <f>984+1000+2000+1920+4080</f>
        <v>9984</v>
      </c>
      <c r="R29" s="447">
        <f t="shared" si="5"/>
        <v>9984</v>
      </c>
      <c r="S29" s="447">
        <f t="shared" si="6"/>
        <v>16</v>
      </c>
      <c r="T29" s="468"/>
    </row>
    <row r="30" spans="1:19" s="460" customFormat="1" ht="20.25" customHeight="1">
      <c r="A30" s="466" t="s">
        <v>367</v>
      </c>
      <c r="B30" s="458">
        <v>10000</v>
      </c>
      <c r="C30" s="458"/>
      <c r="D30" s="459"/>
      <c r="E30" s="459">
        <f t="shared" si="4"/>
        <v>10000</v>
      </c>
      <c r="F30" s="459">
        <v>0</v>
      </c>
      <c r="G30" s="459">
        <v>0</v>
      </c>
      <c r="H30" s="459">
        <v>0</v>
      </c>
      <c r="I30" s="459">
        <v>0</v>
      </c>
      <c r="J30" s="459">
        <v>0</v>
      </c>
      <c r="K30" s="459">
        <v>0</v>
      </c>
      <c r="L30" s="459">
        <f>2000+3950+1000+2940</f>
        <v>9890</v>
      </c>
      <c r="M30" s="459">
        <v>0</v>
      </c>
      <c r="N30" s="459">
        <v>0</v>
      </c>
      <c r="O30" s="459">
        <v>0</v>
      </c>
      <c r="P30" s="459">
        <v>0</v>
      </c>
      <c r="Q30" s="459">
        <v>0</v>
      </c>
      <c r="R30" s="447">
        <f t="shared" si="5"/>
        <v>9890</v>
      </c>
      <c r="S30" s="447">
        <f t="shared" si="6"/>
        <v>110</v>
      </c>
    </row>
    <row r="31" spans="1:20" s="460" customFormat="1" ht="20.25" customHeight="1">
      <c r="A31" s="467" t="s">
        <v>308</v>
      </c>
      <c r="B31" s="458">
        <v>165960</v>
      </c>
      <c r="C31" s="458">
        <v>0</v>
      </c>
      <c r="D31" s="459"/>
      <c r="E31" s="459">
        <f t="shared" si="4"/>
        <v>165960</v>
      </c>
      <c r="F31" s="459">
        <v>0</v>
      </c>
      <c r="G31" s="459">
        <v>41600</v>
      </c>
      <c r="H31" s="459">
        <v>0</v>
      </c>
      <c r="I31" s="459">
        <v>38400</v>
      </c>
      <c r="J31" s="459">
        <v>0</v>
      </c>
      <c r="K31" s="459">
        <v>0</v>
      </c>
      <c r="L31" s="459">
        <v>38400</v>
      </c>
      <c r="M31" s="459">
        <v>0</v>
      </c>
      <c r="N31" s="459">
        <f>4360</f>
        <v>4360</v>
      </c>
      <c r="O31" s="459">
        <v>0</v>
      </c>
      <c r="P31" s="459">
        <v>0</v>
      </c>
      <c r="Q31" s="459">
        <v>0</v>
      </c>
      <c r="R31" s="447">
        <f t="shared" si="5"/>
        <v>122760</v>
      </c>
      <c r="S31" s="447">
        <f t="shared" si="6"/>
        <v>43200</v>
      </c>
      <c r="T31" s="468"/>
    </row>
    <row r="32" spans="1:20" s="460" customFormat="1" ht="20.25" customHeight="1">
      <c r="A32" s="467" t="s">
        <v>309</v>
      </c>
      <c r="B32" s="458">
        <v>54400</v>
      </c>
      <c r="C32" s="458"/>
      <c r="D32" s="459"/>
      <c r="E32" s="459">
        <f t="shared" si="4"/>
        <v>54400</v>
      </c>
      <c r="F32" s="459">
        <v>0</v>
      </c>
      <c r="G32" s="459">
        <v>54400</v>
      </c>
      <c r="H32" s="459">
        <v>0</v>
      </c>
      <c r="I32" s="459">
        <v>0</v>
      </c>
      <c r="J32" s="459">
        <v>0</v>
      </c>
      <c r="K32" s="459">
        <v>0</v>
      </c>
      <c r="L32" s="459">
        <v>0</v>
      </c>
      <c r="M32" s="459">
        <v>0</v>
      </c>
      <c r="N32" s="459">
        <v>0</v>
      </c>
      <c r="O32" s="459">
        <v>0</v>
      </c>
      <c r="P32" s="459">
        <v>0</v>
      </c>
      <c r="Q32" s="459">
        <v>0</v>
      </c>
      <c r="R32" s="447">
        <f>SUM(F32:Q32)</f>
        <v>54400</v>
      </c>
      <c r="S32" s="447">
        <f>+E32-R32</f>
        <v>0</v>
      </c>
      <c r="T32" s="468"/>
    </row>
    <row r="33" spans="1:21" ht="20.25" customHeight="1">
      <c r="A33" s="144" t="s">
        <v>285</v>
      </c>
      <c r="B33" s="36">
        <v>5000</v>
      </c>
      <c r="C33" s="36"/>
      <c r="D33" s="52"/>
      <c r="E33" s="52">
        <f t="shared" si="4"/>
        <v>5000</v>
      </c>
      <c r="F33" s="52">
        <v>0</v>
      </c>
      <c r="G33" s="52">
        <v>0</v>
      </c>
      <c r="H33" s="52">
        <v>0</v>
      </c>
      <c r="I33" s="52">
        <f>225+3860</f>
        <v>4085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135">
        <f t="shared" si="5"/>
        <v>4085</v>
      </c>
      <c r="S33" s="135">
        <f t="shared" si="6"/>
        <v>915</v>
      </c>
      <c r="T33" s="278"/>
      <c r="U33" s="278"/>
    </row>
    <row r="34" spans="1:20" s="460" customFormat="1" ht="20.25" customHeight="1">
      <c r="A34" s="466" t="s">
        <v>455</v>
      </c>
      <c r="B34" s="458">
        <v>50000</v>
      </c>
      <c r="C34" s="458"/>
      <c r="D34" s="459"/>
      <c r="E34" s="459">
        <f t="shared" si="4"/>
        <v>50000</v>
      </c>
      <c r="F34" s="459">
        <v>0</v>
      </c>
      <c r="G34" s="459">
        <v>0</v>
      </c>
      <c r="H34" s="459">
        <v>0</v>
      </c>
      <c r="I34" s="459">
        <v>0</v>
      </c>
      <c r="J34" s="459">
        <f>1500+6100+3000+6000</f>
        <v>16600</v>
      </c>
      <c r="K34" s="459">
        <f>29500+3900</f>
        <v>33400</v>
      </c>
      <c r="L34" s="459">
        <v>0</v>
      </c>
      <c r="M34" s="459">
        <v>0</v>
      </c>
      <c r="N34" s="459">
        <v>0</v>
      </c>
      <c r="O34" s="459">
        <v>0</v>
      </c>
      <c r="P34" s="459">
        <v>0</v>
      </c>
      <c r="Q34" s="459">
        <v>0</v>
      </c>
      <c r="R34" s="447">
        <f t="shared" si="5"/>
        <v>50000</v>
      </c>
      <c r="S34" s="447">
        <f t="shared" si="6"/>
        <v>0</v>
      </c>
      <c r="T34" s="468"/>
    </row>
    <row r="35" spans="1:20" ht="20.25" customHeight="1">
      <c r="A35" s="177" t="s">
        <v>486</v>
      </c>
      <c r="B35" s="36">
        <v>60000</v>
      </c>
      <c r="C35" s="36"/>
      <c r="D35" s="52"/>
      <c r="E35" s="52">
        <f t="shared" si="4"/>
        <v>60000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135">
        <f t="shared" si="5"/>
        <v>0</v>
      </c>
      <c r="S35" s="135">
        <f t="shared" si="6"/>
        <v>60000</v>
      </c>
      <c r="T35" s="278"/>
    </row>
    <row r="36" spans="1:20" ht="20.25" customHeight="1">
      <c r="A36" s="144" t="s">
        <v>292</v>
      </c>
      <c r="B36" s="36">
        <v>10000</v>
      </c>
      <c r="C36" s="36"/>
      <c r="D36" s="52"/>
      <c r="E36" s="52">
        <f t="shared" si="4"/>
        <v>10000</v>
      </c>
      <c r="F36" s="52">
        <v>0</v>
      </c>
      <c r="G36" s="52">
        <v>0</v>
      </c>
      <c r="H36" s="52">
        <v>0</v>
      </c>
      <c r="I36" s="52">
        <f>4000+495+4500</f>
        <v>8995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135">
        <f t="shared" si="5"/>
        <v>8995</v>
      </c>
      <c r="S36" s="135">
        <f t="shared" si="6"/>
        <v>1005</v>
      </c>
      <c r="T36" s="278"/>
    </row>
    <row r="37" spans="1:21" ht="20.25" customHeight="1">
      <c r="A37" s="144" t="s">
        <v>293</v>
      </c>
      <c r="B37" s="36">
        <v>50000</v>
      </c>
      <c r="C37" s="36"/>
      <c r="D37" s="52">
        <v>0</v>
      </c>
      <c r="E37" s="52">
        <f t="shared" si="4"/>
        <v>50000</v>
      </c>
      <c r="F37" s="52">
        <v>0</v>
      </c>
      <c r="G37" s="52">
        <f>5000+5000+5000+2300+1339.34</f>
        <v>18639.34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135">
        <f t="shared" si="5"/>
        <v>18639.34</v>
      </c>
      <c r="S37" s="135">
        <f t="shared" si="6"/>
        <v>31360.66</v>
      </c>
      <c r="T37" s="278"/>
      <c r="U37" s="278"/>
    </row>
    <row r="38" spans="1:20" ht="20.25" customHeight="1">
      <c r="A38" s="177" t="s">
        <v>384</v>
      </c>
      <c r="B38" s="36">
        <v>30000</v>
      </c>
      <c r="C38" s="36"/>
      <c r="D38" s="52"/>
      <c r="E38" s="52">
        <f t="shared" si="4"/>
        <v>30000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f>1200+28000</f>
        <v>29200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135">
        <f t="shared" si="5"/>
        <v>29200</v>
      </c>
      <c r="S38" s="135">
        <f t="shared" si="6"/>
        <v>800</v>
      </c>
      <c r="T38" s="278"/>
    </row>
    <row r="39" spans="1:20" s="460" customFormat="1" ht="20.25" customHeight="1">
      <c r="A39" s="487" t="s">
        <v>385</v>
      </c>
      <c r="B39" s="458">
        <v>18000</v>
      </c>
      <c r="C39" s="458"/>
      <c r="D39" s="459"/>
      <c r="E39" s="459">
        <f t="shared" si="4"/>
        <v>18000</v>
      </c>
      <c r="F39" s="459">
        <v>0</v>
      </c>
      <c r="G39" s="459">
        <v>0</v>
      </c>
      <c r="H39" s="459">
        <v>0</v>
      </c>
      <c r="I39" s="459">
        <v>0</v>
      </c>
      <c r="J39" s="459">
        <v>0</v>
      </c>
      <c r="K39" s="459">
        <v>0</v>
      </c>
      <c r="L39" s="459">
        <v>0</v>
      </c>
      <c r="M39" s="459">
        <v>0</v>
      </c>
      <c r="N39" s="459">
        <v>18000</v>
      </c>
      <c r="O39" s="459">
        <v>0</v>
      </c>
      <c r="P39" s="459">
        <v>0</v>
      </c>
      <c r="Q39" s="459">
        <v>0</v>
      </c>
      <c r="R39" s="447">
        <f t="shared" si="5"/>
        <v>18000</v>
      </c>
      <c r="S39" s="447">
        <f t="shared" si="6"/>
        <v>0</v>
      </c>
      <c r="T39" s="468"/>
    </row>
    <row r="40" spans="1:20" s="460" customFormat="1" ht="20.25" customHeight="1">
      <c r="A40" s="487" t="s">
        <v>312</v>
      </c>
      <c r="B40" s="458">
        <v>10000</v>
      </c>
      <c r="C40" s="458"/>
      <c r="D40" s="459"/>
      <c r="E40" s="459">
        <f t="shared" si="4"/>
        <v>10000</v>
      </c>
      <c r="F40" s="459">
        <v>0</v>
      </c>
      <c r="G40" s="459">
        <v>0</v>
      </c>
      <c r="H40" s="459">
        <v>0</v>
      </c>
      <c r="I40" s="459">
        <v>0</v>
      </c>
      <c r="J40" s="459">
        <v>0</v>
      </c>
      <c r="K40" s="459">
        <v>0</v>
      </c>
      <c r="L40" s="459">
        <v>0</v>
      </c>
      <c r="M40" s="459">
        <v>0</v>
      </c>
      <c r="N40" s="459">
        <v>10000</v>
      </c>
      <c r="O40" s="459">
        <v>0</v>
      </c>
      <c r="P40" s="459">
        <v>0</v>
      </c>
      <c r="Q40" s="459">
        <v>0</v>
      </c>
      <c r="R40" s="447">
        <f>SUM(F40:Q40)</f>
        <v>10000</v>
      </c>
      <c r="S40" s="447">
        <f>+E40-R40</f>
        <v>0</v>
      </c>
      <c r="T40" s="468"/>
    </row>
    <row r="41" spans="1:19" ht="20.25" customHeight="1">
      <c r="A41" s="177" t="s">
        <v>386</v>
      </c>
      <c r="B41" s="36">
        <v>20000</v>
      </c>
      <c r="C41" s="36"/>
      <c r="D41" s="52"/>
      <c r="E41" s="52">
        <f t="shared" si="4"/>
        <v>20000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f>3600+3000+450+7500+4870</f>
        <v>19420</v>
      </c>
      <c r="R41" s="135">
        <f t="shared" si="5"/>
        <v>19420</v>
      </c>
      <c r="S41" s="135">
        <f t="shared" si="6"/>
        <v>580</v>
      </c>
    </row>
    <row r="42" spans="1:19" ht="20.25" customHeight="1">
      <c r="A42" s="177" t="s">
        <v>456</v>
      </c>
      <c r="B42" s="36">
        <v>30000</v>
      </c>
      <c r="C42" s="36"/>
      <c r="D42" s="52"/>
      <c r="E42" s="52">
        <f t="shared" si="4"/>
        <v>30000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135">
        <f t="shared" si="5"/>
        <v>0</v>
      </c>
      <c r="S42" s="135">
        <f t="shared" si="6"/>
        <v>30000</v>
      </c>
    </row>
    <row r="43" spans="1:20" ht="20.25" customHeight="1" thickBot="1">
      <c r="A43" s="144"/>
      <c r="B43" s="158">
        <f>SUM(B24:B42)</f>
        <v>633360</v>
      </c>
      <c r="C43" s="36"/>
      <c r="D43" s="52"/>
      <c r="E43" s="91">
        <f aca="true" t="shared" si="7" ref="E43:S43">SUM(E24:E42)</f>
        <v>633360</v>
      </c>
      <c r="F43" s="91">
        <f t="shared" si="7"/>
        <v>0</v>
      </c>
      <c r="G43" s="91">
        <f t="shared" si="7"/>
        <v>114639.34</v>
      </c>
      <c r="H43" s="91">
        <f t="shared" si="7"/>
        <v>0</v>
      </c>
      <c r="I43" s="91">
        <f t="shared" si="7"/>
        <v>116255</v>
      </c>
      <c r="J43" s="91">
        <f t="shared" si="7"/>
        <v>27650</v>
      </c>
      <c r="K43" s="91">
        <f t="shared" si="7"/>
        <v>62600</v>
      </c>
      <c r="L43" s="91">
        <f t="shared" si="7"/>
        <v>50158</v>
      </c>
      <c r="M43" s="91">
        <f t="shared" si="7"/>
        <v>400</v>
      </c>
      <c r="N43" s="91">
        <f t="shared" si="7"/>
        <v>32360</v>
      </c>
      <c r="O43" s="91">
        <f t="shared" si="7"/>
        <v>0</v>
      </c>
      <c r="P43" s="91">
        <f t="shared" si="7"/>
        <v>0</v>
      </c>
      <c r="Q43" s="91">
        <f t="shared" si="7"/>
        <v>29404</v>
      </c>
      <c r="R43" s="91">
        <f t="shared" si="7"/>
        <v>433466.34</v>
      </c>
      <c r="S43" s="91">
        <f t="shared" si="7"/>
        <v>199893.66</v>
      </c>
      <c r="T43" s="278"/>
    </row>
    <row r="44" spans="1:20" ht="20.25" customHeight="1" thickTop="1">
      <c r="A44" s="105" t="s">
        <v>268</v>
      </c>
      <c r="B44" s="595"/>
      <c r="C44" s="36"/>
      <c r="D44" s="52"/>
      <c r="E44" s="52"/>
      <c r="F44" s="247"/>
      <c r="G44" s="247"/>
      <c r="H44" s="247"/>
      <c r="I44" s="247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78"/>
    </row>
    <row r="45" spans="1:19" ht="20.25" customHeight="1">
      <c r="A45" s="160" t="s">
        <v>161</v>
      </c>
      <c r="B45" s="286">
        <v>15000</v>
      </c>
      <c r="C45" s="36"/>
      <c r="D45" s="52"/>
      <c r="E45" s="52">
        <f>+B45+C45-D45</f>
        <v>15000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f>2600+900-100</f>
        <v>3400</v>
      </c>
      <c r="Q45" s="89">
        <v>0</v>
      </c>
      <c r="R45" s="135">
        <f>SUM(F45:Q45)</f>
        <v>3400</v>
      </c>
      <c r="S45" s="135">
        <f>+E45-R45</f>
        <v>11600</v>
      </c>
    </row>
    <row r="46" spans="1:19" ht="20.25" customHeight="1" thickBot="1">
      <c r="A46" s="144"/>
      <c r="B46" s="50">
        <f>B45</f>
        <v>15000</v>
      </c>
      <c r="C46" s="36"/>
      <c r="D46" s="52"/>
      <c r="E46" s="91">
        <f>E45</f>
        <v>15000</v>
      </c>
      <c r="F46" s="91">
        <f aca="true" t="shared" si="8" ref="F46:S46">F45</f>
        <v>0</v>
      </c>
      <c r="G46" s="91">
        <f t="shared" si="8"/>
        <v>0</v>
      </c>
      <c r="H46" s="91">
        <f t="shared" si="8"/>
        <v>0</v>
      </c>
      <c r="I46" s="91">
        <f t="shared" si="8"/>
        <v>0</v>
      </c>
      <c r="J46" s="91">
        <f t="shared" si="8"/>
        <v>0</v>
      </c>
      <c r="K46" s="91">
        <f t="shared" si="8"/>
        <v>0</v>
      </c>
      <c r="L46" s="91">
        <f t="shared" si="8"/>
        <v>0</v>
      </c>
      <c r="M46" s="91">
        <f t="shared" si="8"/>
        <v>0</v>
      </c>
      <c r="N46" s="91">
        <f t="shared" si="8"/>
        <v>0</v>
      </c>
      <c r="O46" s="91">
        <f t="shared" si="8"/>
        <v>0</v>
      </c>
      <c r="P46" s="91">
        <f t="shared" si="8"/>
        <v>3400</v>
      </c>
      <c r="Q46" s="91">
        <f t="shared" si="8"/>
        <v>0</v>
      </c>
      <c r="R46" s="91">
        <f t="shared" si="8"/>
        <v>3400</v>
      </c>
      <c r="S46" s="91">
        <f t="shared" si="8"/>
        <v>11600</v>
      </c>
    </row>
    <row r="47" spans="1:19" ht="20.25" customHeight="1" thickBot="1" thickTop="1">
      <c r="A47" s="144"/>
      <c r="B47" s="158">
        <f>B22+B43+B46</f>
        <v>713360</v>
      </c>
      <c r="C47" s="36"/>
      <c r="D47" s="52"/>
      <c r="E47" s="91">
        <f>E22+E43+E46</f>
        <v>713360</v>
      </c>
      <c r="F47" s="91">
        <f aca="true" t="shared" si="9" ref="F47:S47">F22+F43+F46</f>
        <v>0</v>
      </c>
      <c r="G47" s="91">
        <f t="shared" si="9"/>
        <v>116539.34</v>
      </c>
      <c r="H47" s="91">
        <f t="shared" si="9"/>
        <v>29500</v>
      </c>
      <c r="I47" s="91">
        <f t="shared" si="9"/>
        <v>116255</v>
      </c>
      <c r="J47" s="91">
        <f t="shared" si="9"/>
        <v>27650</v>
      </c>
      <c r="K47" s="91">
        <f t="shared" si="9"/>
        <v>62600</v>
      </c>
      <c r="L47" s="91">
        <f t="shared" si="9"/>
        <v>57958</v>
      </c>
      <c r="M47" s="91">
        <f t="shared" si="9"/>
        <v>400</v>
      </c>
      <c r="N47" s="91">
        <f t="shared" si="9"/>
        <v>32360</v>
      </c>
      <c r="O47" s="91">
        <f t="shared" si="9"/>
        <v>0</v>
      </c>
      <c r="P47" s="91">
        <f t="shared" si="9"/>
        <v>3400</v>
      </c>
      <c r="Q47" s="91">
        <f t="shared" si="9"/>
        <v>29404</v>
      </c>
      <c r="R47" s="91">
        <f t="shared" si="9"/>
        <v>476066.34</v>
      </c>
      <c r="S47" s="91">
        <f t="shared" si="9"/>
        <v>237293.66</v>
      </c>
    </row>
    <row r="48" spans="1:19" ht="21" customHeight="1" thickTop="1">
      <c r="A48" s="105" t="s">
        <v>249</v>
      </c>
      <c r="B48" s="595"/>
      <c r="C48" s="36"/>
      <c r="D48" s="52"/>
      <c r="E48" s="90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135"/>
      <c r="S48" s="135"/>
    </row>
    <row r="49" spans="1:19" ht="21" customHeight="1">
      <c r="A49" s="105" t="s">
        <v>269</v>
      </c>
      <c r="B49" s="36">
        <v>30000</v>
      </c>
      <c r="C49" s="36"/>
      <c r="D49" s="52"/>
      <c r="E49" s="52">
        <f>+B49+C49-D49</f>
        <v>30000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26060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3940</v>
      </c>
      <c r="R49" s="135">
        <f>SUM(F49:Q49)</f>
        <v>30000</v>
      </c>
      <c r="S49" s="135">
        <f>+E49-R49</f>
        <v>0</v>
      </c>
    </row>
    <row r="50" spans="1:19" ht="21" customHeight="1">
      <c r="A50" s="105" t="s">
        <v>270</v>
      </c>
      <c r="B50" s="287">
        <v>25000</v>
      </c>
      <c r="C50" s="36"/>
      <c r="D50" s="52"/>
      <c r="E50" s="52">
        <f>+B50+C50-D50</f>
        <v>25000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11082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10494</v>
      </c>
      <c r="R50" s="135">
        <f>SUM(F50:Q50)</f>
        <v>21576</v>
      </c>
      <c r="S50" s="135">
        <f>+E50-R50</f>
        <v>3424</v>
      </c>
    </row>
    <row r="51" spans="1:19" ht="21" customHeight="1">
      <c r="A51" s="105" t="s">
        <v>426</v>
      </c>
      <c r="B51" s="287">
        <v>15000</v>
      </c>
      <c r="C51" s="36"/>
      <c r="D51" s="52"/>
      <c r="E51" s="52">
        <f>+B51+C51-D51</f>
        <v>15000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9760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3420</v>
      </c>
      <c r="R51" s="135">
        <f>SUM(F51:Q51)</f>
        <v>13180</v>
      </c>
      <c r="S51" s="135">
        <f>+E51-R51</f>
        <v>1820</v>
      </c>
    </row>
    <row r="52" spans="1:19" ht="21" customHeight="1">
      <c r="A52" s="105" t="s">
        <v>280</v>
      </c>
      <c r="B52" s="279"/>
      <c r="C52" s="3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135"/>
      <c r="S52" s="135"/>
    </row>
    <row r="53" spans="1:20" s="460" customFormat="1" ht="21" customHeight="1">
      <c r="A53" s="469" t="s">
        <v>483</v>
      </c>
      <c r="B53" s="470">
        <v>268743</v>
      </c>
      <c r="C53" s="458"/>
      <c r="D53" s="459"/>
      <c r="E53" s="459">
        <f>+B53+C53-D53</f>
        <v>268743</v>
      </c>
      <c r="F53" s="459">
        <v>0</v>
      </c>
      <c r="G53" s="459">
        <v>0</v>
      </c>
      <c r="H53" s="459">
        <v>0</v>
      </c>
      <c r="I53" s="459">
        <v>0</v>
      </c>
      <c r="J53" s="459">
        <v>0</v>
      </c>
      <c r="K53" s="459">
        <v>0</v>
      </c>
      <c r="L53" s="459">
        <v>0</v>
      </c>
      <c r="M53" s="459">
        <v>144513.6</v>
      </c>
      <c r="N53" s="459">
        <v>0</v>
      </c>
      <c r="O53" s="459">
        <v>19761.14</v>
      </c>
      <c r="P53" s="459">
        <v>0</v>
      </c>
      <c r="Q53" s="459">
        <v>100361.88</v>
      </c>
      <c r="R53" s="447">
        <f>SUM(F53:Q53)</f>
        <v>264636.62</v>
      </c>
      <c r="S53" s="447">
        <f>+E53-R53</f>
        <v>4106.380000000005</v>
      </c>
      <c r="T53" s="468"/>
    </row>
    <row r="54" spans="1:21" s="460" customFormat="1" ht="21" customHeight="1">
      <c r="A54" s="469" t="s">
        <v>484</v>
      </c>
      <c r="B54" s="470"/>
      <c r="C54" s="458"/>
      <c r="D54" s="459"/>
      <c r="E54" s="459"/>
      <c r="F54" s="459">
        <v>0</v>
      </c>
      <c r="G54" s="459">
        <v>0</v>
      </c>
      <c r="H54" s="459">
        <v>0</v>
      </c>
      <c r="I54" s="459">
        <v>0</v>
      </c>
      <c r="J54" s="459">
        <v>0</v>
      </c>
      <c r="K54" s="459">
        <v>0</v>
      </c>
      <c r="L54" s="459">
        <v>0</v>
      </c>
      <c r="M54" s="459">
        <v>0</v>
      </c>
      <c r="N54" s="459">
        <v>0</v>
      </c>
      <c r="O54" s="459">
        <v>0</v>
      </c>
      <c r="P54" s="459">
        <v>0</v>
      </c>
      <c r="Q54" s="459">
        <v>0</v>
      </c>
      <c r="R54" s="447">
        <f>SUM(F54:Q54)</f>
        <v>0</v>
      </c>
      <c r="S54" s="447">
        <f>+E54-R54</f>
        <v>0</v>
      </c>
      <c r="T54" s="468"/>
      <c r="U54" s="500"/>
    </row>
    <row r="55" spans="1:21" s="460" customFormat="1" ht="21" customHeight="1">
      <c r="A55" s="469" t="s">
        <v>485</v>
      </c>
      <c r="B55" s="458"/>
      <c r="C55" s="458"/>
      <c r="D55" s="459"/>
      <c r="E55" s="459"/>
      <c r="F55" s="459">
        <v>0</v>
      </c>
      <c r="G55" s="459">
        <v>0</v>
      </c>
      <c r="H55" s="459">
        <v>0</v>
      </c>
      <c r="I55" s="459">
        <v>0</v>
      </c>
      <c r="J55" s="459">
        <v>0</v>
      </c>
      <c r="K55" s="459">
        <v>0</v>
      </c>
      <c r="L55" s="459">
        <v>0</v>
      </c>
      <c r="M55" s="459">
        <v>0</v>
      </c>
      <c r="N55" s="459">
        <v>0</v>
      </c>
      <c r="O55" s="459">
        <v>0</v>
      </c>
      <c r="P55" s="459">
        <v>0</v>
      </c>
      <c r="Q55" s="459">
        <v>0</v>
      </c>
      <c r="R55" s="447">
        <f>SUM(F55:Q55)</f>
        <v>0</v>
      </c>
      <c r="S55" s="447">
        <f>+E55-R55</f>
        <v>0</v>
      </c>
      <c r="U55" s="468"/>
    </row>
    <row r="56" spans="1:19" ht="21" customHeight="1" thickBot="1">
      <c r="A56" s="105"/>
      <c r="B56" s="158">
        <f>SUM(B49:B55)</f>
        <v>338743</v>
      </c>
      <c r="C56" s="36"/>
      <c r="D56" s="52"/>
      <c r="E56" s="91">
        <f>SUM(E49:E55)</f>
        <v>338743</v>
      </c>
      <c r="F56" s="91">
        <f aca="true" t="shared" si="10" ref="F56:S56">SUM(F49:F55)</f>
        <v>0</v>
      </c>
      <c r="G56" s="91">
        <f t="shared" si="10"/>
        <v>0</v>
      </c>
      <c r="H56" s="91">
        <f t="shared" si="10"/>
        <v>0</v>
      </c>
      <c r="I56" s="91">
        <f t="shared" si="10"/>
        <v>0</v>
      </c>
      <c r="J56" s="91">
        <f t="shared" si="10"/>
        <v>0</v>
      </c>
      <c r="K56" s="91">
        <f t="shared" si="10"/>
        <v>46902</v>
      </c>
      <c r="L56" s="91">
        <f t="shared" si="10"/>
        <v>0</v>
      </c>
      <c r="M56" s="91">
        <f t="shared" si="10"/>
        <v>144513.6</v>
      </c>
      <c r="N56" s="91">
        <f t="shared" si="10"/>
        <v>0</v>
      </c>
      <c r="O56" s="91">
        <f t="shared" si="10"/>
        <v>19761.14</v>
      </c>
      <c r="P56" s="91">
        <f t="shared" si="10"/>
        <v>0</v>
      </c>
      <c r="Q56" s="91">
        <f t="shared" si="10"/>
        <v>118215.88</v>
      </c>
      <c r="R56" s="91">
        <f t="shared" si="10"/>
        <v>329392.62</v>
      </c>
      <c r="S56" s="91">
        <f t="shared" si="10"/>
        <v>9350.380000000005</v>
      </c>
    </row>
    <row r="57" spans="1:21" ht="21" customHeight="1" thickTop="1">
      <c r="A57" s="105" t="s">
        <v>271</v>
      </c>
      <c r="B57" s="595"/>
      <c r="C57" s="143"/>
      <c r="D57" s="209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80"/>
      <c r="S57" s="180"/>
      <c r="U57" s="278"/>
    </row>
    <row r="58" spans="1:19" ht="21" customHeight="1">
      <c r="A58" s="105" t="s">
        <v>272</v>
      </c>
      <c r="B58" s="505"/>
      <c r="C58" s="3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180"/>
      <c r="S58" s="180"/>
    </row>
    <row r="59" spans="1:19" s="460" customFormat="1" ht="21" customHeight="1">
      <c r="A59" s="466" t="s">
        <v>395</v>
      </c>
      <c r="B59" s="459">
        <v>162840</v>
      </c>
      <c r="C59" s="458">
        <v>0</v>
      </c>
      <c r="D59" s="459">
        <v>0</v>
      </c>
      <c r="E59" s="459">
        <f>+B59+C59-D59</f>
        <v>162840</v>
      </c>
      <c r="F59" s="459">
        <v>0</v>
      </c>
      <c r="G59" s="459">
        <v>38000</v>
      </c>
      <c r="H59" s="459">
        <v>0</v>
      </c>
      <c r="I59" s="459">
        <v>38000</v>
      </c>
      <c r="J59" s="459">
        <v>0</v>
      </c>
      <c r="K59" s="459">
        <v>0</v>
      </c>
      <c r="L59" s="459">
        <v>0</v>
      </c>
      <c r="M59" s="459">
        <v>0</v>
      </c>
      <c r="N59" s="459">
        <v>43000</v>
      </c>
      <c r="O59" s="459">
        <v>0</v>
      </c>
      <c r="P59" s="459">
        <v>43000</v>
      </c>
      <c r="Q59" s="459">
        <v>0</v>
      </c>
      <c r="R59" s="447">
        <f>SUM(F59:Q59)</f>
        <v>162000</v>
      </c>
      <c r="S59" s="447">
        <f>+E59-R59</f>
        <v>840</v>
      </c>
    </row>
    <row r="60" spans="1:19" s="460" customFormat="1" ht="21" customHeight="1">
      <c r="A60" s="466" t="s">
        <v>396</v>
      </c>
      <c r="B60" s="471">
        <v>238000</v>
      </c>
      <c r="C60" s="458">
        <v>0</v>
      </c>
      <c r="D60" s="459">
        <v>0</v>
      </c>
      <c r="E60" s="459">
        <f>+B60+C60-D60</f>
        <v>238000</v>
      </c>
      <c r="F60" s="459">
        <v>0</v>
      </c>
      <c r="G60" s="459">
        <v>62000</v>
      </c>
      <c r="H60" s="459">
        <v>0</v>
      </c>
      <c r="I60" s="459">
        <v>62000</v>
      </c>
      <c r="J60" s="459">
        <v>0</v>
      </c>
      <c r="K60" s="459">
        <v>0</v>
      </c>
      <c r="L60" s="459">
        <v>0</v>
      </c>
      <c r="M60" s="459">
        <v>0</v>
      </c>
      <c r="N60" s="459">
        <v>56000</v>
      </c>
      <c r="O60" s="459">
        <v>0</v>
      </c>
      <c r="P60" s="459">
        <v>56000</v>
      </c>
      <c r="Q60" s="459">
        <v>0</v>
      </c>
      <c r="R60" s="447">
        <f>SUM(F60:Q60)</f>
        <v>236000</v>
      </c>
      <c r="S60" s="447">
        <f>+E60-R60</f>
        <v>2000</v>
      </c>
    </row>
    <row r="61" spans="1:20" ht="21" customHeight="1" thickBot="1">
      <c r="A61" s="79"/>
      <c r="B61" s="158">
        <f>SUM(B59:B60)</f>
        <v>400840</v>
      </c>
      <c r="C61" s="37"/>
      <c r="D61" s="37"/>
      <c r="E61" s="158">
        <f aca="true" t="shared" si="11" ref="E61:S61">SUM(E59:E60)</f>
        <v>400840</v>
      </c>
      <c r="F61" s="158">
        <f t="shared" si="11"/>
        <v>0</v>
      </c>
      <c r="G61" s="158">
        <f t="shared" si="11"/>
        <v>100000</v>
      </c>
      <c r="H61" s="158">
        <f t="shared" si="11"/>
        <v>0</v>
      </c>
      <c r="I61" s="158">
        <f t="shared" si="11"/>
        <v>100000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99000</v>
      </c>
      <c r="O61" s="158">
        <f t="shared" si="11"/>
        <v>0</v>
      </c>
      <c r="P61" s="158">
        <f t="shared" si="11"/>
        <v>99000</v>
      </c>
      <c r="Q61" s="158">
        <f t="shared" si="11"/>
        <v>0</v>
      </c>
      <c r="R61" s="158">
        <f t="shared" si="11"/>
        <v>398000</v>
      </c>
      <c r="S61" s="158">
        <f t="shared" si="11"/>
        <v>2840</v>
      </c>
      <c r="T61" s="278"/>
    </row>
    <row r="62" spans="1:19" ht="24.75" thickBot="1" thickTop="1">
      <c r="A62" s="105"/>
      <c r="B62" s="164">
        <f>B8+B13+B17+B22+B43+B46+B56+B61</f>
        <v>2269655</v>
      </c>
      <c r="C62" s="144"/>
      <c r="D62" s="144"/>
      <c r="E62" s="164">
        <f aca="true" t="shared" si="12" ref="E62:S62">E8+E13+E17+E22+E43+E46+E56+E61</f>
        <v>2269655</v>
      </c>
      <c r="F62" s="164">
        <f t="shared" si="12"/>
        <v>43140</v>
      </c>
      <c r="G62" s="164">
        <f t="shared" si="12"/>
        <v>289249.33999999997</v>
      </c>
      <c r="H62" s="164">
        <f t="shared" si="12"/>
        <v>90125</v>
      </c>
      <c r="I62" s="164">
        <f t="shared" si="12"/>
        <v>275680</v>
      </c>
      <c r="J62" s="164">
        <f t="shared" si="12"/>
        <v>87075</v>
      </c>
      <c r="K62" s="164">
        <f t="shared" si="12"/>
        <v>168927</v>
      </c>
      <c r="L62" s="164">
        <f t="shared" si="12"/>
        <v>118193</v>
      </c>
      <c r="M62" s="164">
        <f t="shared" si="12"/>
        <v>205148.6</v>
      </c>
      <c r="N62" s="164">
        <f t="shared" si="12"/>
        <v>176802</v>
      </c>
      <c r="O62" s="164">
        <f t="shared" si="12"/>
        <v>55496.14</v>
      </c>
      <c r="P62" s="164">
        <f t="shared" si="12"/>
        <v>152175</v>
      </c>
      <c r="Q62" s="164">
        <f t="shared" si="12"/>
        <v>186864.88</v>
      </c>
      <c r="R62" s="164">
        <f t="shared" si="12"/>
        <v>1848875.96</v>
      </c>
      <c r="S62" s="164">
        <f t="shared" si="12"/>
        <v>420779.04000000004</v>
      </c>
    </row>
    <row r="63" spans="1:19" ht="24" thickTop="1">
      <c r="A63" s="311"/>
      <c r="B63" s="225"/>
      <c r="C63" s="225"/>
      <c r="D63" s="225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ht="23.25">
      <c r="A64" s="245"/>
      <c r="B64" s="68"/>
      <c r="C64" s="147"/>
      <c r="D64" s="147"/>
      <c r="E64" s="300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300"/>
      <c r="S64" s="68"/>
    </row>
    <row r="65" spans="1:19" ht="23.25">
      <c r="A65" s="245"/>
      <c r="B65" s="147"/>
      <c r="C65" s="68"/>
      <c r="D65" s="741"/>
      <c r="E65" s="741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8"/>
    </row>
    <row r="66" spans="1:19" ht="23.25">
      <c r="A66" s="205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300"/>
      <c r="S66" s="68"/>
    </row>
    <row r="67" spans="1:19" ht="23.25">
      <c r="A67" s="27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ht="23.25">
      <c r="A68" s="245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ht="38.25">
      <c r="A69" s="32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1:19" ht="26.25">
      <c r="A70" s="205"/>
      <c r="B70" s="68"/>
      <c r="C70" s="326"/>
      <c r="D70" s="68"/>
      <c r="E70" s="68"/>
      <c r="F70" s="68"/>
      <c r="G70" s="300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1:19" ht="23.25">
      <c r="A71" s="205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1:19" ht="23.25">
      <c r="A72" s="205"/>
      <c r="B72" s="68"/>
      <c r="C72" s="68"/>
      <c r="D72" s="68"/>
      <c r="E72" s="68"/>
      <c r="F72" s="68"/>
      <c r="G72" s="68"/>
      <c r="H72" s="68"/>
      <c r="I72" s="68"/>
      <c r="J72" s="68"/>
      <c r="K72" s="147"/>
      <c r="L72" s="68"/>
      <c r="M72" s="68"/>
      <c r="N72" s="68"/>
      <c r="O72" s="68"/>
      <c r="P72" s="68"/>
      <c r="Q72" s="68"/>
      <c r="R72" s="147"/>
      <c r="S72" s="186"/>
    </row>
    <row r="73" spans="1:19" ht="23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ht="23.2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</row>
    <row r="75" spans="1:19" ht="23.2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</row>
    <row r="76" spans="1:19" ht="23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</row>
    <row r="77" spans="1:19" ht="23.2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</row>
    <row r="78" spans="1:19" ht="23.25">
      <c r="A78" s="290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</row>
    <row r="79" spans="1:19" ht="39.75">
      <c r="A79" s="253"/>
      <c r="B79" s="742"/>
      <c r="C79" s="742"/>
      <c r="D79" s="743">
        <f>F62+G62+H62+I62-F13-G13-H13-I13</f>
        <v>645054.34</v>
      </c>
      <c r="E79" s="742"/>
      <c r="F79" s="742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</row>
    <row r="80" spans="1:19" ht="39.75">
      <c r="A80" s="253"/>
      <c r="B80" s="292"/>
      <c r="C80" s="292"/>
      <c r="D80" s="291"/>
      <c r="E80" s="292"/>
      <c r="F80" s="292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</row>
    <row r="81" spans="1:19" ht="23.25">
      <c r="A81" s="723" t="s">
        <v>207</v>
      </c>
      <c r="B81" s="723"/>
      <c r="C81" s="723"/>
      <c r="D81" s="723"/>
      <c r="E81" s="723"/>
      <c r="F81" s="723"/>
      <c r="G81" s="723"/>
      <c r="H81" s="723"/>
      <c r="I81" s="723"/>
      <c r="J81" s="723"/>
      <c r="K81" s="723"/>
      <c r="L81" s="723"/>
      <c r="M81" s="723"/>
      <c r="N81" s="723"/>
      <c r="O81" s="723"/>
      <c r="P81" s="723"/>
      <c r="Q81" s="723"/>
      <c r="R81" s="723"/>
      <c r="S81" s="723"/>
    </row>
    <row r="82" spans="1:19" ht="23.25">
      <c r="A82" s="739" t="s">
        <v>266</v>
      </c>
      <c r="B82" s="739"/>
      <c r="C82" s="739"/>
      <c r="D82" s="739"/>
      <c r="E82" s="739"/>
      <c r="F82" s="739"/>
      <c r="G82" s="739"/>
      <c r="H82" s="739"/>
      <c r="I82" s="739"/>
      <c r="J82" s="739"/>
      <c r="K82" s="739"/>
      <c r="L82" s="739"/>
      <c r="M82" s="739"/>
      <c r="N82" s="739"/>
      <c r="O82" s="739"/>
      <c r="P82" s="739"/>
      <c r="Q82" s="739"/>
      <c r="R82" s="739"/>
      <c r="S82" s="739"/>
    </row>
    <row r="83" spans="1:19" ht="23.25">
      <c r="A83" s="659" t="s">
        <v>4</v>
      </c>
      <c r="B83" s="94"/>
      <c r="C83" s="120" t="s">
        <v>9</v>
      </c>
      <c r="D83" s="120" t="s">
        <v>9</v>
      </c>
      <c r="E83" s="121" t="s">
        <v>25</v>
      </c>
      <c r="F83" s="120" t="s">
        <v>26</v>
      </c>
      <c r="G83" s="121" t="s">
        <v>27</v>
      </c>
      <c r="H83" s="120" t="s">
        <v>28</v>
      </c>
      <c r="I83" s="121" t="s">
        <v>29</v>
      </c>
      <c r="J83" s="120" t="s">
        <v>30</v>
      </c>
      <c r="K83" s="121" t="s">
        <v>31</v>
      </c>
      <c r="L83" s="120" t="s">
        <v>32</v>
      </c>
      <c r="M83" s="121" t="s">
        <v>33</v>
      </c>
      <c r="N83" s="120" t="s">
        <v>34</v>
      </c>
      <c r="O83" s="121" t="s">
        <v>35</v>
      </c>
      <c r="P83" s="120" t="s">
        <v>36</v>
      </c>
      <c r="Q83" s="120" t="s">
        <v>37</v>
      </c>
      <c r="R83" s="120" t="s">
        <v>25</v>
      </c>
      <c r="S83" s="125" t="s">
        <v>6</v>
      </c>
    </row>
    <row r="84" spans="1:19" ht="23.25">
      <c r="A84" s="660"/>
      <c r="B84" s="94"/>
      <c r="C84" s="95" t="s">
        <v>10</v>
      </c>
      <c r="D84" s="95" t="s">
        <v>11</v>
      </c>
      <c r="E84" s="96"/>
      <c r="F84" s="182"/>
      <c r="G84" s="172"/>
      <c r="H84" s="182"/>
      <c r="I84" s="172"/>
      <c r="J84" s="182"/>
      <c r="K84" s="172"/>
      <c r="L84" s="182"/>
      <c r="M84" s="172"/>
      <c r="N84" s="182"/>
      <c r="O84" s="172"/>
      <c r="P84" s="182"/>
      <c r="Q84" s="182"/>
      <c r="R84" s="95"/>
      <c r="S84" s="99" t="s">
        <v>5</v>
      </c>
    </row>
    <row r="85" spans="1:19" ht="23.25">
      <c r="A85" s="105" t="s">
        <v>23</v>
      </c>
      <c r="B85" s="52"/>
      <c r="C85" s="89"/>
      <c r="D85" s="191"/>
      <c r="E85" s="176"/>
      <c r="F85" s="171"/>
      <c r="G85" s="171"/>
      <c r="H85" s="171"/>
      <c r="I85" s="171"/>
      <c r="J85" s="171"/>
      <c r="K85" s="171"/>
      <c r="L85" s="171"/>
      <c r="M85" s="171"/>
      <c r="N85" s="211"/>
      <c r="O85" s="184"/>
      <c r="P85" s="184"/>
      <c r="Q85" s="184"/>
      <c r="R85" s="184"/>
      <c r="S85" s="184"/>
    </row>
    <row r="86" spans="1:19" ht="23.25">
      <c r="A86" s="105" t="s">
        <v>60</v>
      </c>
      <c r="B86" s="163"/>
      <c r="C86" s="52"/>
      <c r="D86" s="144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135"/>
      <c r="S86" s="135"/>
    </row>
    <row r="87" spans="1:19" ht="23.25">
      <c r="A87" s="191" t="s">
        <v>67</v>
      </c>
      <c r="B87" s="89">
        <v>0</v>
      </c>
      <c r="C87" s="52"/>
      <c r="D87" s="144"/>
      <c r="E87" s="52">
        <f>+B87+C87-D87</f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135">
        <f>SUM(F87:Q87)</f>
        <v>0</v>
      </c>
      <c r="S87" s="135">
        <f>+E87-R87</f>
        <v>0</v>
      </c>
    </row>
    <row r="88" spans="1:19" ht="23.25">
      <c r="A88" s="191" t="s">
        <v>208</v>
      </c>
      <c r="B88" s="89">
        <v>0</v>
      </c>
      <c r="C88" s="163"/>
      <c r="D88" s="163"/>
      <c r="E88" s="52">
        <f>+B88+C88-D88</f>
        <v>0</v>
      </c>
      <c r="F88" s="52">
        <v>0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135">
        <f>SUM(F88:Q88)</f>
        <v>0</v>
      </c>
      <c r="S88" s="135">
        <f>+E88-R88</f>
        <v>0</v>
      </c>
    </row>
    <row r="89" spans="1:19" ht="23.25">
      <c r="A89" s="191"/>
      <c r="B89" s="89"/>
      <c r="C89" s="185"/>
      <c r="D89" s="185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135"/>
      <c r="S89" s="135"/>
    </row>
    <row r="90" spans="1:19" ht="23.25">
      <c r="A90" s="191"/>
      <c r="B90" s="230"/>
      <c r="C90" s="185"/>
      <c r="D90" s="185"/>
      <c r="E90" s="177"/>
      <c r="F90" s="89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</row>
    <row r="91" spans="1:19" ht="23.25">
      <c r="A91" s="105"/>
      <c r="B91" s="36"/>
      <c r="C91" s="52"/>
      <c r="D91" s="144"/>
      <c r="E91" s="165"/>
      <c r="F91" s="52"/>
      <c r="G91" s="144"/>
      <c r="H91" s="144"/>
      <c r="I91" s="144"/>
      <c r="J91" s="144"/>
      <c r="K91" s="144"/>
      <c r="L91" s="144"/>
      <c r="M91" s="144"/>
      <c r="N91" s="22"/>
      <c r="O91" s="52"/>
      <c r="P91" s="52"/>
      <c r="Q91" s="52"/>
      <c r="R91" s="52"/>
      <c r="S91" s="52"/>
    </row>
    <row r="92" spans="1:19" ht="23.25">
      <c r="A92" s="160"/>
      <c r="B92" s="52"/>
      <c r="C92" s="52"/>
      <c r="D92" s="144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135"/>
      <c r="S92" s="135"/>
    </row>
    <row r="93" spans="1:19" ht="23.25">
      <c r="A93" s="105"/>
      <c r="B93" s="52"/>
      <c r="C93" s="52"/>
      <c r="D93" s="144"/>
      <c r="E93" s="177"/>
      <c r="F93" s="52"/>
      <c r="G93" s="144"/>
      <c r="H93" s="144"/>
      <c r="I93" s="144"/>
      <c r="J93" s="144"/>
      <c r="K93" s="144"/>
      <c r="L93" s="144"/>
      <c r="M93" s="144"/>
      <c r="N93" s="22"/>
      <c r="O93" s="52"/>
      <c r="P93" s="52"/>
      <c r="Q93" s="52"/>
      <c r="R93" s="52"/>
      <c r="S93" s="52"/>
    </row>
    <row r="94" spans="1:19" ht="23.25">
      <c r="A94" s="160"/>
      <c r="B94" s="36"/>
      <c r="C94" s="163"/>
      <c r="D94" s="163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135"/>
      <c r="S94" s="135"/>
    </row>
    <row r="95" spans="1:19" ht="23.25">
      <c r="A95" s="160"/>
      <c r="B95" s="52"/>
      <c r="C95" s="144"/>
      <c r="D95" s="144"/>
      <c r="E95" s="144"/>
      <c r="F95" s="148"/>
      <c r="G95" s="148"/>
      <c r="H95" s="148"/>
      <c r="I95" s="148"/>
      <c r="J95" s="148"/>
      <c r="K95" s="148"/>
      <c r="L95" s="148"/>
      <c r="M95" s="148"/>
      <c r="N95" s="148"/>
      <c r="O95" s="90"/>
      <c r="P95" s="148"/>
      <c r="Q95" s="148"/>
      <c r="R95" s="168"/>
      <c r="S95" s="168"/>
    </row>
    <row r="96" spans="1:19" ht="23.25">
      <c r="A96" s="105"/>
      <c r="B96" s="144"/>
      <c r="C96" s="144"/>
      <c r="D96" s="144"/>
      <c r="E96" s="144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</row>
    <row r="97" spans="1:19" ht="23.25">
      <c r="A97" s="105"/>
      <c r="B97" s="144"/>
      <c r="C97" s="144"/>
      <c r="D97" s="144"/>
      <c r="E97" s="144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</row>
    <row r="98" spans="1:19" ht="23.25">
      <c r="A98" s="105"/>
      <c r="B98" s="144"/>
      <c r="C98" s="144"/>
      <c r="D98" s="144"/>
      <c r="E98" s="144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</row>
    <row r="99" spans="1:19" ht="23.25">
      <c r="A99" s="105"/>
      <c r="B99" s="144"/>
      <c r="C99" s="144"/>
      <c r="D99" s="144"/>
      <c r="E99" s="144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</row>
    <row r="100" spans="1:19" ht="23.25">
      <c r="A100" s="105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</row>
    <row r="101" spans="1:19" ht="23.2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</row>
    <row r="102" spans="1:19" ht="23.2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</row>
    <row r="103" spans="1:19" ht="23.2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</row>
    <row r="104" spans="1:19" ht="23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</row>
    <row r="105" spans="1:19" ht="23.25">
      <c r="A105" s="163"/>
      <c r="B105" s="36"/>
      <c r="C105" s="163"/>
      <c r="D105" s="163"/>
      <c r="E105" s="36" t="s">
        <v>0</v>
      </c>
      <c r="F105" s="246">
        <f>SUM(F87:F104)</f>
        <v>0</v>
      </c>
      <c r="G105" s="246">
        <f aca="true" t="shared" si="13" ref="G105:S105">SUM(G87:G104)</f>
        <v>0</v>
      </c>
      <c r="H105" s="246">
        <f t="shared" si="13"/>
        <v>0</v>
      </c>
      <c r="I105" s="246">
        <f t="shared" si="13"/>
        <v>0</v>
      </c>
      <c r="J105" s="246">
        <f t="shared" si="13"/>
        <v>0</v>
      </c>
      <c r="K105" s="246">
        <f t="shared" si="13"/>
        <v>0</v>
      </c>
      <c r="L105" s="246">
        <f t="shared" si="13"/>
        <v>0</v>
      </c>
      <c r="M105" s="246">
        <f t="shared" si="13"/>
        <v>0</v>
      </c>
      <c r="N105" s="246">
        <f t="shared" si="13"/>
        <v>0</v>
      </c>
      <c r="O105" s="246">
        <f t="shared" si="13"/>
        <v>0</v>
      </c>
      <c r="P105" s="246">
        <f t="shared" si="13"/>
        <v>0</v>
      </c>
      <c r="Q105" s="246">
        <f t="shared" si="13"/>
        <v>0</v>
      </c>
      <c r="R105" s="246">
        <f t="shared" si="13"/>
        <v>0</v>
      </c>
      <c r="S105" s="246">
        <f t="shared" si="13"/>
        <v>0</v>
      </c>
    </row>
    <row r="106" spans="1:19" ht="23.25">
      <c r="A106" s="163"/>
      <c r="B106" s="144"/>
      <c r="C106" s="163"/>
      <c r="D106" s="163"/>
      <c r="E106" s="183" t="s">
        <v>7</v>
      </c>
      <c r="F106" s="246">
        <f>F105</f>
        <v>0</v>
      </c>
      <c r="G106" s="246">
        <f aca="true" t="shared" si="14" ref="G106:S106">G105</f>
        <v>0</v>
      </c>
      <c r="H106" s="246">
        <f t="shared" si="14"/>
        <v>0</v>
      </c>
      <c r="I106" s="246">
        <f t="shared" si="14"/>
        <v>0</v>
      </c>
      <c r="J106" s="246">
        <f t="shared" si="14"/>
        <v>0</v>
      </c>
      <c r="K106" s="246">
        <f t="shared" si="14"/>
        <v>0</v>
      </c>
      <c r="L106" s="246">
        <f t="shared" si="14"/>
        <v>0</v>
      </c>
      <c r="M106" s="246">
        <f t="shared" si="14"/>
        <v>0</v>
      </c>
      <c r="N106" s="246">
        <f t="shared" si="14"/>
        <v>0</v>
      </c>
      <c r="O106" s="246">
        <f t="shared" si="14"/>
        <v>0</v>
      </c>
      <c r="P106" s="246">
        <f t="shared" si="14"/>
        <v>0</v>
      </c>
      <c r="Q106" s="246">
        <f t="shared" si="14"/>
        <v>0</v>
      </c>
      <c r="R106" s="246">
        <f t="shared" si="14"/>
        <v>0</v>
      </c>
      <c r="S106" s="246">
        <f t="shared" si="14"/>
        <v>0</v>
      </c>
    </row>
    <row r="107" spans="1:19" ht="39.75">
      <c r="A107" s="253"/>
      <c r="B107" s="292"/>
      <c r="C107" s="292"/>
      <c r="D107" s="291"/>
      <c r="E107" s="292"/>
      <c r="F107" s="292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</row>
    <row r="108" spans="1:19" ht="35.25" customHeight="1">
      <c r="A108" s="720"/>
      <c r="B108" s="720"/>
      <c r="C108" s="720"/>
      <c r="D108" s="720"/>
      <c r="E108" s="720"/>
      <c r="F108" s="720"/>
      <c r="G108" s="720"/>
      <c r="H108" s="720"/>
      <c r="I108" s="720"/>
      <c r="J108" s="720"/>
      <c r="K108" s="720"/>
      <c r="L108" s="720"/>
      <c r="M108" s="720"/>
      <c r="N108" s="720"/>
      <c r="O108" s="720"/>
      <c r="P108" s="720"/>
      <c r="Q108" s="720"/>
      <c r="R108" s="720"/>
      <c r="S108" s="720"/>
    </row>
    <row r="109" spans="1:19" ht="23.25">
      <c r="A109" s="723"/>
      <c r="B109" s="723"/>
      <c r="C109" s="723"/>
      <c r="D109" s="723"/>
      <c r="E109" s="723"/>
      <c r="F109" s="723"/>
      <c r="G109" s="723"/>
      <c r="H109" s="723"/>
      <c r="I109" s="723"/>
      <c r="J109" s="723"/>
      <c r="K109" s="723"/>
      <c r="L109" s="723"/>
      <c r="M109" s="723"/>
      <c r="N109" s="723"/>
      <c r="O109" s="723"/>
      <c r="P109" s="723"/>
      <c r="Q109" s="723"/>
      <c r="R109" s="723"/>
      <c r="S109" s="723"/>
    </row>
    <row r="110" spans="1:19" ht="23.25">
      <c r="A110" s="739"/>
      <c r="B110" s="739"/>
      <c r="C110" s="739"/>
      <c r="D110" s="739"/>
      <c r="E110" s="739"/>
      <c r="F110" s="739"/>
      <c r="G110" s="739"/>
      <c r="H110" s="739"/>
      <c r="I110" s="739"/>
      <c r="J110" s="739"/>
      <c r="K110" s="739"/>
      <c r="L110" s="739"/>
      <c r="M110" s="739"/>
      <c r="N110" s="739"/>
      <c r="O110" s="739"/>
      <c r="P110" s="739"/>
      <c r="Q110" s="739"/>
      <c r="R110" s="739"/>
      <c r="S110" s="739"/>
    </row>
    <row r="111" spans="1:19" ht="23.25">
      <c r="A111" s="740"/>
      <c r="B111" s="254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</row>
    <row r="112" spans="1:19" ht="23.25">
      <c r="A112" s="740"/>
      <c r="B112" s="254"/>
      <c r="C112" s="297"/>
      <c r="D112" s="297"/>
      <c r="E112" s="29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97"/>
      <c r="S112" s="297"/>
    </row>
    <row r="113" spans="1:19" ht="23.25">
      <c r="A113" s="205"/>
      <c r="B113" s="118"/>
      <c r="C113" s="147"/>
      <c r="D113" s="68"/>
      <c r="E113" s="166"/>
      <c r="F113" s="68"/>
      <c r="G113" s="68"/>
      <c r="H113" s="68"/>
      <c r="I113" s="68"/>
      <c r="J113" s="68"/>
      <c r="K113" s="68"/>
      <c r="L113" s="68"/>
      <c r="M113" s="68"/>
      <c r="N113" s="169"/>
      <c r="O113" s="147"/>
      <c r="P113" s="147"/>
      <c r="Q113" s="147"/>
      <c r="R113" s="147"/>
      <c r="S113" s="147"/>
    </row>
    <row r="114" spans="1:19" ht="23.25">
      <c r="A114" s="298"/>
      <c r="B114" s="147"/>
      <c r="C114" s="147"/>
      <c r="D114" s="68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37"/>
      <c r="S114" s="137"/>
    </row>
    <row r="115" spans="1:19" ht="23.25">
      <c r="A115" s="298"/>
      <c r="B115" s="147"/>
      <c r="C115" s="147"/>
      <c r="D115" s="68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37"/>
      <c r="S115" s="137"/>
    </row>
    <row r="116" spans="1:19" ht="23.25">
      <c r="A116" s="205"/>
      <c r="B116" s="118"/>
      <c r="C116" s="147"/>
      <c r="D116" s="68"/>
      <c r="E116" s="166"/>
      <c r="F116" s="147"/>
      <c r="G116" s="68"/>
      <c r="H116" s="68"/>
      <c r="I116" s="68"/>
      <c r="J116" s="68"/>
      <c r="K116" s="68"/>
      <c r="L116" s="68"/>
      <c r="M116" s="68"/>
      <c r="N116" s="169"/>
      <c r="O116" s="147"/>
      <c r="P116" s="147"/>
      <c r="Q116" s="147"/>
      <c r="R116" s="147"/>
      <c r="S116" s="147"/>
    </row>
    <row r="117" spans="1:19" ht="23.25">
      <c r="A117" s="298"/>
      <c r="B117" s="147"/>
      <c r="C117" s="147"/>
      <c r="D117" s="68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37"/>
      <c r="S117" s="137"/>
    </row>
    <row r="118" spans="1:19" ht="23.25">
      <c r="A118" s="205"/>
      <c r="B118" s="147"/>
      <c r="C118" s="147"/>
      <c r="D118" s="68"/>
      <c r="E118" s="299"/>
      <c r="F118" s="147"/>
      <c r="G118" s="68"/>
      <c r="H118" s="68"/>
      <c r="I118" s="68"/>
      <c r="J118" s="68"/>
      <c r="K118" s="68"/>
      <c r="L118" s="68"/>
      <c r="M118" s="68"/>
      <c r="N118" s="169"/>
      <c r="O118" s="147"/>
      <c r="P118" s="147"/>
      <c r="Q118" s="147"/>
      <c r="R118" s="147"/>
      <c r="S118" s="147"/>
    </row>
    <row r="119" spans="1:19" ht="23.25">
      <c r="A119" s="68"/>
      <c r="B119" s="118"/>
      <c r="C119" s="175"/>
      <c r="D119" s="175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37"/>
      <c r="S119" s="137"/>
    </row>
    <row r="120" spans="1:19" ht="23.25">
      <c r="A120" s="298"/>
      <c r="B120" s="14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147"/>
      <c r="P120" s="68"/>
      <c r="Q120" s="68"/>
      <c r="R120" s="300"/>
      <c r="S120" s="300"/>
    </row>
    <row r="121" spans="1:19" ht="23.25">
      <c r="A121" s="205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19" ht="23.25">
      <c r="A122" s="205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</row>
    <row r="123" spans="1:19" ht="23.25">
      <c r="A123" s="205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</row>
    <row r="124" spans="1:19" ht="23.25">
      <c r="A124" s="205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1:19" ht="23.25">
      <c r="A125" s="205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1:19" ht="23.2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</row>
    <row r="127" spans="1:19" ht="23.2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</row>
    <row r="128" spans="1:19" ht="23.2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</row>
    <row r="129" spans="1:19" ht="23.2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</row>
    <row r="130" spans="1:19" ht="23.2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</row>
    <row r="131" spans="1:19" ht="23.2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</row>
    <row r="132" spans="1:19" ht="23.2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</row>
    <row r="133" spans="1:19" ht="23.2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</row>
    <row r="135" ht="39.75">
      <c r="A135" s="252"/>
    </row>
    <row r="136" ht="39.75">
      <c r="A136" s="252"/>
    </row>
  </sheetData>
  <sheetProtection/>
  <mergeCells count="12">
    <mergeCell ref="A111:A112"/>
    <mergeCell ref="D65:E65"/>
    <mergeCell ref="B79:C79"/>
    <mergeCell ref="D79:F79"/>
    <mergeCell ref="A81:S81"/>
    <mergeCell ref="A82:S82"/>
    <mergeCell ref="A1:S1"/>
    <mergeCell ref="A2:A3"/>
    <mergeCell ref="A83:A84"/>
    <mergeCell ref="A108:S108"/>
    <mergeCell ref="A109:S109"/>
    <mergeCell ref="A110:S110"/>
  </mergeCells>
  <printOptions/>
  <pageMargins left="0.4724409448818898" right="0.15748031496062992" top="0.4330708661417323" bottom="0.1968503937007874" header="0.9448818897637796" footer="0.5118110236220472"/>
  <pageSetup horizontalDpi="600" verticalDpi="600" orientation="landscape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W170"/>
  <sheetViews>
    <sheetView zoomScaleSheetLayoutView="100" zoomScalePageLayoutView="0" workbookViewId="0" topLeftCell="A1">
      <pane xSplit="7" ySplit="3" topLeftCell="N4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F13" sqref="F13"/>
    </sheetView>
  </sheetViews>
  <sheetFormatPr defaultColWidth="9.140625" defaultRowHeight="23.25"/>
  <cols>
    <col min="1" max="1" width="37.7109375" style="167" customWidth="1"/>
    <col min="2" max="2" width="5.57421875" style="167" customWidth="1"/>
    <col min="3" max="3" width="3.8515625" style="167" customWidth="1"/>
    <col min="4" max="4" width="8.8515625" style="167" customWidth="1"/>
    <col min="5" max="5" width="7.7109375" style="167" customWidth="1"/>
    <col min="6" max="6" width="10.140625" style="167" customWidth="1"/>
    <col min="7" max="7" width="10.421875" style="167" customWidth="1"/>
    <col min="8" max="8" width="10.28125" style="167" bestFit="1" customWidth="1"/>
    <col min="9" max="9" width="8.7109375" style="167" bestFit="1" customWidth="1"/>
    <col min="10" max="11" width="9.00390625" style="167" customWidth="1"/>
    <col min="12" max="12" width="9.140625" style="167" customWidth="1"/>
    <col min="13" max="13" width="9.00390625" style="167" customWidth="1"/>
    <col min="14" max="14" width="8.7109375" style="167" bestFit="1" customWidth="1"/>
    <col min="15" max="15" width="9.00390625" style="167" customWidth="1"/>
    <col min="16" max="16" width="9.421875" style="167" customWidth="1"/>
    <col min="17" max="17" width="8.421875" style="167" customWidth="1"/>
    <col min="18" max="18" width="8.7109375" style="167" customWidth="1"/>
    <col min="19" max="19" width="8.57421875" style="167" customWidth="1"/>
    <col min="20" max="20" width="11.00390625" style="167" customWidth="1"/>
    <col min="21" max="21" width="10.57421875" style="167" customWidth="1"/>
    <col min="22" max="23" width="11.28125" style="167" bestFit="1" customWidth="1"/>
    <col min="24" max="16384" width="9.140625" style="167" customWidth="1"/>
  </cols>
  <sheetData>
    <row r="1" spans="1:22" ht="21" customHeight="1">
      <c r="A1" s="739" t="s">
        <v>490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6"/>
    </row>
    <row r="2" spans="1:22" ht="21" customHeight="1">
      <c r="A2" s="659" t="s">
        <v>4</v>
      </c>
      <c r="B2" s="119"/>
      <c r="C2" s="715" t="s">
        <v>51</v>
      </c>
      <c r="D2" s="726"/>
      <c r="E2" s="120" t="s">
        <v>9</v>
      </c>
      <c r="F2" s="120" t="s">
        <v>9</v>
      </c>
      <c r="G2" s="121" t="s">
        <v>25</v>
      </c>
      <c r="H2" s="120" t="s">
        <v>26</v>
      </c>
      <c r="I2" s="121" t="s">
        <v>27</v>
      </c>
      <c r="J2" s="120" t="s">
        <v>28</v>
      </c>
      <c r="K2" s="121" t="s">
        <v>29</v>
      </c>
      <c r="L2" s="120" t="s">
        <v>30</v>
      </c>
      <c r="M2" s="121" t="s">
        <v>31</v>
      </c>
      <c r="N2" s="120" t="s">
        <v>32</v>
      </c>
      <c r="O2" s="121" t="s">
        <v>33</v>
      </c>
      <c r="P2" s="120" t="s">
        <v>34</v>
      </c>
      <c r="Q2" s="121" t="s">
        <v>35</v>
      </c>
      <c r="R2" s="120" t="s">
        <v>36</v>
      </c>
      <c r="S2" s="120" t="s">
        <v>37</v>
      </c>
      <c r="T2" s="120" t="s">
        <v>25</v>
      </c>
      <c r="U2" s="125" t="s">
        <v>6</v>
      </c>
      <c r="V2" s="175"/>
    </row>
    <row r="3" spans="1:22" ht="21" customHeight="1">
      <c r="A3" s="660"/>
      <c r="B3" s="92" t="s">
        <v>8</v>
      </c>
      <c r="C3" s="101" t="s">
        <v>9</v>
      </c>
      <c r="D3" s="94" t="s">
        <v>46</v>
      </c>
      <c r="E3" s="95" t="s">
        <v>10</v>
      </c>
      <c r="F3" s="95" t="s">
        <v>11</v>
      </c>
      <c r="G3" s="96"/>
      <c r="H3" s="182"/>
      <c r="I3" s="172"/>
      <c r="J3" s="182"/>
      <c r="K3" s="172"/>
      <c r="L3" s="182"/>
      <c r="M3" s="172"/>
      <c r="N3" s="182"/>
      <c r="O3" s="172"/>
      <c r="P3" s="182"/>
      <c r="Q3" s="172"/>
      <c r="R3" s="182"/>
      <c r="S3" s="182"/>
      <c r="T3" s="95"/>
      <c r="U3" s="99" t="s">
        <v>5</v>
      </c>
      <c r="V3" s="175"/>
    </row>
    <row r="4" spans="1:22" ht="21" customHeight="1">
      <c r="A4" s="7" t="s">
        <v>198</v>
      </c>
      <c r="B4" s="8"/>
      <c r="C4" s="737">
        <f>C5+C18+D85+C80</f>
        <v>2509655</v>
      </c>
      <c r="D4" s="738"/>
      <c r="E4" s="95"/>
      <c r="F4" s="293"/>
      <c r="G4" s="96"/>
      <c r="H4" s="182"/>
      <c r="I4" s="172"/>
      <c r="J4" s="182"/>
      <c r="K4" s="172"/>
      <c r="L4" s="182"/>
      <c r="M4" s="172"/>
      <c r="N4" s="182"/>
      <c r="O4" s="172"/>
      <c r="P4" s="182"/>
      <c r="Q4" s="172"/>
      <c r="R4" s="182"/>
      <c r="S4" s="182"/>
      <c r="T4" s="95"/>
      <c r="U4" s="99"/>
      <c r="V4" s="175"/>
    </row>
    <row r="5" spans="1:22" ht="21" customHeight="1">
      <c r="A5" s="7" t="s">
        <v>22</v>
      </c>
      <c r="B5" s="8"/>
      <c r="C5" s="737">
        <f>C7</f>
        <v>1046950</v>
      </c>
      <c r="D5" s="738"/>
      <c r="E5" s="288"/>
      <c r="F5" s="207"/>
      <c r="G5" s="144"/>
      <c r="H5" s="148"/>
      <c r="I5" s="207"/>
      <c r="J5" s="148"/>
      <c r="K5" s="207"/>
      <c r="L5" s="148"/>
      <c r="M5" s="207"/>
      <c r="N5" s="148"/>
      <c r="O5" s="207"/>
      <c r="P5" s="148"/>
      <c r="Q5" s="207"/>
      <c r="R5" s="148"/>
      <c r="S5" s="148"/>
      <c r="T5" s="9"/>
      <c r="U5" s="149"/>
      <c r="V5" s="175"/>
    </row>
    <row r="6" spans="1:21" ht="21" customHeight="1">
      <c r="A6" s="12" t="s">
        <v>12</v>
      </c>
      <c r="B6" s="8"/>
      <c r="C6" s="758" t="s">
        <v>213</v>
      </c>
      <c r="D6" s="759"/>
      <c r="E6" s="1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14"/>
      <c r="U6" s="47"/>
    </row>
    <row r="7" spans="1:21" ht="21" customHeight="1">
      <c r="A7" s="7" t="s">
        <v>15</v>
      </c>
      <c r="B7" s="8"/>
      <c r="C7" s="668">
        <f>C8+C13</f>
        <v>1046950</v>
      </c>
      <c r="D7" s="669"/>
      <c r="E7" s="1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6"/>
      <c r="U7" s="22"/>
    </row>
    <row r="8" spans="1:21" ht="21" customHeight="1">
      <c r="A8" s="7" t="s">
        <v>56</v>
      </c>
      <c r="B8" s="279" t="s">
        <v>135</v>
      </c>
      <c r="C8" s="716">
        <f>D9+D10+D11</f>
        <v>887530</v>
      </c>
      <c r="D8" s="717"/>
      <c r="E8" s="1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43"/>
      <c r="U8" s="22"/>
    </row>
    <row r="9" spans="1:22" ht="21" customHeight="1">
      <c r="A9" s="7" t="s">
        <v>57</v>
      </c>
      <c r="B9" s="279" t="s">
        <v>136</v>
      </c>
      <c r="C9" s="8"/>
      <c r="D9" s="52">
        <v>578830</v>
      </c>
      <c r="E9" s="37"/>
      <c r="F9" s="52">
        <f>20000+80000+140000+10000+20000+11000+50</f>
        <v>281050</v>
      </c>
      <c r="G9" s="52">
        <f>+D9+E9-F9</f>
        <v>297780</v>
      </c>
      <c r="H9" s="52">
        <v>21140</v>
      </c>
      <c r="I9" s="52">
        <v>21140</v>
      </c>
      <c r="J9" s="52">
        <v>21140</v>
      </c>
      <c r="K9" s="52">
        <v>21140</v>
      </c>
      <c r="L9" s="52">
        <v>21140</v>
      </c>
      <c r="M9" s="52">
        <v>21140</v>
      </c>
      <c r="N9" s="52">
        <v>21500</v>
      </c>
      <c r="O9" s="52">
        <v>21500</v>
      </c>
      <c r="P9" s="52">
        <v>5017</v>
      </c>
      <c r="Q9" s="52">
        <v>0</v>
      </c>
      <c r="R9" s="52">
        <v>0</v>
      </c>
      <c r="S9" s="52">
        <v>0</v>
      </c>
      <c r="T9" s="135">
        <f>SUM(H9:S9)</f>
        <v>174857</v>
      </c>
      <c r="U9" s="135">
        <f>+G9-T9</f>
        <v>122923</v>
      </c>
      <c r="V9" s="278"/>
    </row>
    <row r="10" spans="1:21" s="460" customFormat="1" ht="21" customHeight="1">
      <c r="A10" s="463" t="s">
        <v>482</v>
      </c>
      <c r="B10" s="464" t="s">
        <v>137</v>
      </c>
      <c r="C10" s="465"/>
      <c r="D10" s="459">
        <v>266700</v>
      </c>
      <c r="E10" s="444">
        <v>50</v>
      </c>
      <c r="F10" s="459"/>
      <c r="G10" s="459">
        <f>D10+E10-F10</f>
        <v>266750</v>
      </c>
      <c r="H10" s="459">
        <v>22000</v>
      </c>
      <c r="I10" s="459">
        <v>22000</v>
      </c>
      <c r="J10" s="459">
        <v>22000</v>
      </c>
      <c r="K10" s="459">
        <v>22000</v>
      </c>
      <c r="L10" s="459">
        <v>22000</v>
      </c>
      <c r="M10" s="459">
        <v>22000</v>
      </c>
      <c r="N10" s="459">
        <v>22450</v>
      </c>
      <c r="O10" s="459">
        <v>22450</v>
      </c>
      <c r="P10" s="459">
        <v>22450</v>
      </c>
      <c r="Q10" s="459">
        <v>22450</v>
      </c>
      <c r="R10" s="459">
        <v>22490</v>
      </c>
      <c r="S10" s="459">
        <v>22460</v>
      </c>
      <c r="T10" s="447">
        <f>SUM(H10:S10)</f>
        <v>266750</v>
      </c>
      <c r="U10" s="447">
        <f>+G10-T10</f>
        <v>0</v>
      </c>
    </row>
    <row r="11" spans="1:21" ht="21" customHeight="1">
      <c r="A11" s="105" t="s">
        <v>251</v>
      </c>
      <c r="B11" s="279" t="s">
        <v>138</v>
      </c>
      <c r="C11" s="1"/>
      <c r="D11" s="52">
        <v>42000</v>
      </c>
      <c r="E11" s="52"/>
      <c r="F11" s="52"/>
      <c r="G11" s="52">
        <f>+D11+E11-F11</f>
        <v>42000</v>
      </c>
      <c r="H11" s="52">
        <v>0</v>
      </c>
      <c r="I11" s="52"/>
      <c r="J11" s="52"/>
      <c r="K11" s="52"/>
      <c r="L11" s="52"/>
      <c r="M11" s="52"/>
      <c r="N11" s="52"/>
      <c r="O11" s="52"/>
      <c r="P11" s="52"/>
      <c r="Q11" s="52"/>
      <c r="R11" s="52">
        <v>14000</v>
      </c>
      <c r="S11" s="52">
        <v>3500</v>
      </c>
      <c r="T11" s="135">
        <f>SUM(H11:S11)</f>
        <v>17500</v>
      </c>
      <c r="U11" s="135">
        <f>+G11-T11</f>
        <v>24500</v>
      </c>
    </row>
    <row r="12" spans="1:21" ht="21" customHeight="1" thickBot="1">
      <c r="A12" s="105"/>
      <c r="B12" s="1"/>
      <c r="C12" s="1"/>
      <c r="D12" s="1" t="s">
        <v>0</v>
      </c>
      <c r="E12" s="52"/>
      <c r="F12" s="52"/>
      <c r="G12" s="91">
        <f>SUM(G9:G11)</f>
        <v>606530</v>
      </c>
      <c r="H12" s="91">
        <f aca="true" t="shared" si="0" ref="H12:U12">SUM(H9:H11)</f>
        <v>43140</v>
      </c>
      <c r="I12" s="91">
        <f t="shared" si="0"/>
        <v>43140</v>
      </c>
      <c r="J12" s="91">
        <f t="shared" si="0"/>
        <v>43140</v>
      </c>
      <c r="K12" s="91">
        <f t="shared" si="0"/>
        <v>43140</v>
      </c>
      <c r="L12" s="91">
        <f t="shared" si="0"/>
        <v>43140</v>
      </c>
      <c r="M12" s="91">
        <f t="shared" si="0"/>
        <v>43140</v>
      </c>
      <c r="N12" s="91">
        <f t="shared" si="0"/>
        <v>43950</v>
      </c>
      <c r="O12" s="91">
        <f t="shared" si="0"/>
        <v>43950</v>
      </c>
      <c r="P12" s="91">
        <f t="shared" si="0"/>
        <v>27467</v>
      </c>
      <c r="Q12" s="91">
        <f t="shared" si="0"/>
        <v>22450</v>
      </c>
      <c r="R12" s="91">
        <f>SUM(R9:R11)</f>
        <v>36490</v>
      </c>
      <c r="S12" s="91">
        <f t="shared" si="0"/>
        <v>25960</v>
      </c>
      <c r="T12" s="91">
        <f t="shared" si="0"/>
        <v>459107</v>
      </c>
      <c r="U12" s="91">
        <f t="shared" si="0"/>
        <v>147423</v>
      </c>
    </row>
    <row r="13" spans="1:21" ht="21" customHeight="1" thickTop="1">
      <c r="A13" s="105" t="s">
        <v>18</v>
      </c>
      <c r="B13" s="279" t="s">
        <v>139</v>
      </c>
      <c r="C13" s="724">
        <f>+D15+D16</f>
        <v>159420</v>
      </c>
      <c r="D13" s="725"/>
      <c r="E13" s="36"/>
      <c r="F13" s="52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21" customHeight="1">
      <c r="A14" s="105" t="s">
        <v>59</v>
      </c>
      <c r="B14" s="279" t="s">
        <v>140</v>
      </c>
      <c r="C14" s="754"/>
      <c r="D14" s="755"/>
      <c r="E14" s="36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460" customFormat="1" ht="21" customHeight="1">
      <c r="A15" s="466" t="s">
        <v>42</v>
      </c>
      <c r="B15" s="465"/>
      <c r="C15" s="465"/>
      <c r="D15" s="458">
        <v>144000</v>
      </c>
      <c r="E15" s="458">
        <v>11000</v>
      </c>
      <c r="F15" s="459">
        <v>0</v>
      </c>
      <c r="G15" s="459">
        <f>+D15+E15-F15</f>
        <v>155000</v>
      </c>
      <c r="H15" s="459">
        <v>0</v>
      </c>
      <c r="I15" s="459">
        <f>12050*2</f>
        <v>24100</v>
      </c>
      <c r="J15" s="459">
        <v>12050</v>
      </c>
      <c r="K15" s="459">
        <v>12050</v>
      </c>
      <c r="L15" s="459">
        <v>12050</v>
      </c>
      <c r="M15" s="459">
        <v>12050</v>
      </c>
      <c r="N15" s="459">
        <v>12050</v>
      </c>
      <c r="O15" s="459">
        <v>12050</v>
      </c>
      <c r="P15" s="459">
        <v>12050</v>
      </c>
      <c r="Q15" s="459">
        <v>12050</v>
      </c>
      <c r="R15" s="459">
        <v>12050</v>
      </c>
      <c r="S15" s="459">
        <v>12050</v>
      </c>
      <c r="T15" s="447">
        <f>SUM(H15:S15)</f>
        <v>144600</v>
      </c>
      <c r="U15" s="447">
        <f>+G15-T15</f>
        <v>10400</v>
      </c>
    </row>
    <row r="16" spans="1:21" s="460" customFormat="1" ht="21" customHeight="1">
      <c r="A16" s="466" t="s">
        <v>43</v>
      </c>
      <c r="B16" s="465"/>
      <c r="C16" s="465"/>
      <c r="D16" s="459">
        <v>15420</v>
      </c>
      <c r="E16" s="459"/>
      <c r="F16" s="459"/>
      <c r="G16" s="459">
        <f>+D16+E16-F16</f>
        <v>15420</v>
      </c>
      <c r="H16" s="459">
        <v>0</v>
      </c>
      <c r="I16" s="459">
        <f>1235*2</f>
        <v>2470</v>
      </c>
      <c r="J16" s="459">
        <v>1235</v>
      </c>
      <c r="K16" s="459">
        <v>1235</v>
      </c>
      <c r="L16" s="459">
        <v>1235</v>
      </c>
      <c r="M16" s="459">
        <v>1235</v>
      </c>
      <c r="N16" s="459">
        <v>1235</v>
      </c>
      <c r="O16" s="459">
        <v>1235</v>
      </c>
      <c r="P16" s="459">
        <v>1235</v>
      </c>
      <c r="Q16" s="459">
        <v>1235</v>
      </c>
      <c r="R16" s="459">
        <v>1235</v>
      </c>
      <c r="S16" s="459">
        <v>1235</v>
      </c>
      <c r="T16" s="447">
        <f>SUM(H16:S16)</f>
        <v>14820</v>
      </c>
      <c r="U16" s="447">
        <f>+G16-T16</f>
        <v>600</v>
      </c>
    </row>
    <row r="17" spans="1:21" ht="21" customHeight="1" thickBot="1">
      <c r="A17" s="144"/>
      <c r="B17" s="1"/>
      <c r="C17" s="1"/>
      <c r="D17" s="1" t="s">
        <v>0</v>
      </c>
      <c r="E17" s="52"/>
      <c r="F17" s="198"/>
      <c r="G17" s="91">
        <f>SUM(G15:G16)</f>
        <v>170420</v>
      </c>
      <c r="H17" s="208">
        <f aca="true" t="shared" si="1" ref="H17:U17">SUM(H15:H16)</f>
        <v>0</v>
      </c>
      <c r="I17" s="208">
        <f t="shared" si="1"/>
        <v>26570</v>
      </c>
      <c r="J17" s="208">
        <f t="shared" si="1"/>
        <v>13285</v>
      </c>
      <c r="K17" s="208">
        <f t="shared" si="1"/>
        <v>13285</v>
      </c>
      <c r="L17" s="208">
        <f t="shared" si="1"/>
        <v>13285</v>
      </c>
      <c r="M17" s="136">
        <f t="shared" si="1"/>
        <v>13285</v>
      </c>
      <c r="N17" s="136">
        <f t="shared" si="1"/>
        <v>13285</v>
      </c>
      <c r="O17" s="136">
        <f t="shared" si="1"/>
        <v>13285</v>
      </c>
      <c r="P17" s="136">
        <f t="shared" si="1"/>
        <v>13285</v>
      </c>
      <c r="Q17" s="136">
        <f t="shared" si="1"/>
        <v>13285</v>
      </c>
      <c r="R17" s="136">
        <f t="shared" si="1"/>
        <v>13285</v>
      </c>
      <c r="S17" s="136">
        <f t="shared" si="1"/>
        <v>13285</v>
      </c>
      <c r="T17" s="136">
        <f t="shared" si="1"/>
        <v>159420</v>
      </c>
      <c r="U17" s="136">
        <f t="shared" si="1"/>
        <v>11000</v>
      </c>
    </row>
    <row r="18" spans="1:21" ht="21" customHeight="1" thickTop="1">
      <c r="A18" s="105" t="s">
        <v>222</v>
      </c>
      <c r="B18" s="1"/>
      <c r="C18" s="724">
        <f>C19+C24+C70</f>
        <v>1062705</v>
      </c>
      <c r="D18" s="725"/>
      <c r="E18" s="52"/>
      <c r="F18" s="52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21" customHeight="1">
      <c r="A19" s="105" t="s">
        <v>256</v>
      </c>
      <c r="B19" s="279" t="s">
        <v>141</v>
      </c>
      <c r="C19" s="724">
        <f>D20+D21+D22</f>
        <v>39762</v>
      </c>
      <c r="D19" s="725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21" customHeight="1">
      <c r="A20" s="325" t="s">
        <v>305</v>
      </c>
      <c r="B20" s="279" t="s">
        <v>144</v>
      </c>
      <c r="C20" s="50"/>
      <c r="D20" s="36"/>
      <c r="E20" s="36"/>
      <c r="F20" s="52"/>
      <c r="G20" s="52">
        <f>+D20+E20-F20</f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135">
        <f>SUM(H20:S20)</f>
        <v>0</v>
      </c>
      <c r="U20" s="135">
        <f>+G20-T20</f>
        <v>0</v>
      </c>
    </row>
    <row r="21" spans="1:21" ht="21" customHeight="1">
      <c r="A21" s="105" t="s">
        <v>279</v>
      </c>
      <c r="B21" s="279" t="s">
        <v>147</v>
      </c>
      <c r="C21" s="50"/>
      <c r="D21" s="36">
        <v>3762</v>
      </c>
      <c r="E21" s="36"/>
      <c r="F21" s="52"/>
      <c r="G21" s="52">
        <f>+D21+E21-F21</f>
        <v>3762</v>
      </c>
      <c r="H21" s="52">
        <v>0</v>
      </c>
      <c r="I21" s="52">
        <v>0</v>
      </c>
      <c r="J21" s="52">
        <v>1200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1690</v>
      </c>
      <c r="Q21" s="52">
        <v>0</v>
      </c>
      <c r="R21" s="52">
        <v>0</v>
      </c>
      <c r="S21" s="52">
        <v>0</v>
      </c>
      <c r="T21" s="135">
        <f>SUM(H21:S21)</f>
        <v>2890</v>
      </c>
      <c r="U21" s="135">
        <f>+G21-T21</f>
        <v>872</v>
      </c>
    </row>
    <row r="22" spans="1:21" ht="21" customHeight="1">
      <c r="A22" s="105" t="s">
        <v>275</v>
      </c>
      <c r="B22" s="279"/>
      <c r="C22" s="50"/>
      <c r="D22" s="36">
        <v>36000</v>
      </c>
      <c r="E22" s="36"/>
      <c r="F22" s="52"/>
      <c r="G22" s="52">
        <f>+D22+E22-F22</f>
        <v>36000</v>
      </c>
      <c r="H22" s="52">
        <v>0</v>
      </c>
      <c r="I22" s="52">
        <v>3000</v>
      </c>
      <c r="J22" s="52">
        <v>3000</v>
      </c>
      <c r="K22" s="52">
        <v>3000</v>
      </c>
      <c r="L22" s="52">
        <v>3000</v>
      </c>
      <c r="M22" s="52">
        <v>3000</v>
      </c>
      <c r="N22" s="52">
        <v>3000</v>
      </c>
      <c r="O22" s="52">
        <v>3000</v>
      </c>
      <c r="P22" s="52">
        <v>3000</v>
      </c>
      <c r="Q22" s="52">
        <v>0</v>
      </c>
      <c r="R22" s="52">
        <v>0</v>
      </c>
      <c r="S22" s="52">
        <v>0</v>
      </c>
      <c r="T22" s="135">
        <f>SUM(H22:S22)</f>
        <v>24000</v>
      </c>
      <c r="U22" s="135">
        <f>+G22-T22</f>
        <v>12000</v>
      </c>
    </row>
    <row r="23" spans="1:22" ht="21" customHeight="1" thickBot="1">
      <c r="A23" s="105"/>
      <c r="B23" s="1"/>
      <c r="C23" s="1"/>
      <c r="D23" s="1" t="s">
        <v>0</v>
      </c>
      <c r="E23" s="36"/>
      <c r="F23" s="52"/>
      <c r="G23" s="91">
        <f>SUM(G20:G22)</f>
        <v>39762</v>
      </c>
      <c r="H23" s="91">
        <f aca="true" t="shared" si="2" ref="H23:N23">SUM(H20:H22)</f>
        <v>0</v>
      </c>
      <c r="I23" s="91">
        <f t="shared" si="2"/>
        <v>3000</v>
      </c>
      <c r="J23" s="91">
        <f t="shared" si="2"/>
        <v>4200</v>
      </c>
      <c r="K23" s="91">
        <f t="shared" si="2"/>
        <v>3000</v>
      </c>
      <c r="L23" s="91">
        <f t="shared" si="2"/>
        <v>3000</v>
      </c>
      <c r="M23" s="91">
        <f t="shared" si="2"/>
        <v>3000</v>
      </c>
      <c r="N23" s="91">
        <f t="shared" si="2"/>
        <v>3000</v>
      </c>
      <c r="O23" s="91">
        <f aca="true" t="shared" si="3" ref="O23:U23">SUM(O20:O22)</f>
        <v>3000</v>
      </c>
      <c r="P23" s="91">
        <f t="shared" si="3"/>
        <v>4690</v>
      </c>
      <c r="Q23" s="91">
        <f t="shared" si="3"/>
        <v>0</v>
      </c>
      <c r="R23" s="91">
        <f t="shared" si="3"/>
        <v>0</v>
      </c>
      <c r="S23" s="91">
        <f t="shared" si="3"/>
        <v>0</v>
      </c>
      <c r="T23" s="91">
        <f t="shared" si="3"/>
        <v>26890</v>
      </c>
      <c r="U23" s="91">
        <f t="shared" si="3"/>
        <v>12872</v>
      </c>
      <c r="V23" s="278"/>
    </row>
    <row r="24" spans="1:21" ht="21" customHeight="1" thickTop="1">
      <c r="A24" s="105" t="s">
        <v>223</v>
      </c>
      <c r="B24" s="279" t="s">
        <v>148</v>
      </c>
      <c r="C24" s="716">
        <f>C25+C37+C62</f>
        <v>684200</v>
      </c>
      <c r="D24" s="717"/>
      <c r="E24" s="36"/>
      <c r="F24" s="52"/>
      <c r="G24" s="90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90"/>
      <c r="U24" s="90"/>
    </row>
    <row r="25" spans="1:21" ht="21" customHeight="1">
      <c r="A25" s="105" t="s">
        <v>267</v>
      </c>
      <c r="B25" s="279" t="s">
        <v>149</v>
      </c>
      <c r="C25" s="724">
        <f>D26+D27+D28</f>
        <v>45000</v>
      </c>
      <c r="D25" s="725"/>
      <c r="E25" s="36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2" ht="21" customHeight="1">
      <c r="A26" s="160" t="s">
        <v>199</v>
      </c>
      <c r="B26" s="1"/>
      <c r="C26" s="113"/>
      <c r="D26" s="286">
        <v>20000</v>
      </c>
      <c r="E26" s="36"/>
      <c r="F26" s="52"/>
      <c r="G26" s="52">
        <f>+D26+E26-F26</f>
        <v>20000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135">
        <f>SUM(H26:S26)</f>
        <v>0</v>
      </c>
      <c r="U26" s="135">
        <f>+G26-T26</f>
        <v>20000</v>
      </c>
      <c r="V26" s="278"/>
    </row>
    <row r="27" spans="1:22" ht="21" customHeight="1">
      <c r="A27" s="144" t="s">
        <v>16</v>
      </c>
      <c r="B27" s="1"/>
      <c r="C27" s="117"/>
      <c r="D27" s="36">
        <v>25000</v>
      </c>
      <c r="E27" s="36">
        <v>20000</v>
      </c>
      <c r="F27" s="52"/>
      <c r="G27" s="52">
        <f>+D27+E27-F27</f>
        <v>45000</v>
      </c>
      <c r="H27" s="52">
        <v>0</v>
      </c>
      <c r="I27" s="52">
        <v>1900</v>
      </c>
      <c r="J27" s="52">
        <v>29500</v>
      </c>
      <c r="K27" s="52">
        <v>0</v>
      </c>
      <c r="L27" s="52">
        <v>0</v>
      </c>
      <c r="M27" s="52">
        <v>0</v>
      </c>
      <c r="N27" s="52">
        <v>7800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135">
        <f>SUM(H27:S27)</f>
        <v>39200</v>
      </c>
      <c r="U27" s="135">
        <f>+G27-T27</f>
        <v>5800</v>
      </c>
      <c r="V27" s="278"/>
    </row>
    <row r="28" spans="1:22" ht="21" customHeight="1">
      <c r="A28" s="144" t="s">
        <v>67</v>
      </c>
      <c r="B28" s="750" t="s">
        <v>214</v>
      </c>
      <c r="C28" s="751"/>
      <c r="D28" s="36"/>
      <c r="E28" s="36"/>
      <c r="F28" s="52"/>
      <c r="G28" s="52">
        <f>+D28+E28-F28</f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135">
        <f>SUM(H28:S28)</f>
        <v>0</v>
      </c>
      <c r="U28" s="135">
        <f>+G28-T28</f>
        <v>0</v>
      </c>
      <c r="V28" s="278"/>
    </row>
    <row r="29" spans="1:22" ht="21" customHeight="1">
      <c r="A29" s="144"/>
      <c r="B29" s="750"/>
      <c r="C29" s="751"/>
      <c r="D29" s="36"/>
      <c r="E29" s="36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135"/>
      <c r="U29" s="135"/>
      <c r="V29" s="278"/>
    </row>
    <row r="30" spans="1:21" ht="21" customHeight="1">
      <c r="A30" s="144"/>
      <c r="B30" s="1"/>
      <c r="C30" s="117"/>
      <c r="D30" s="203"/>
      <c r="E30" s="36"/>
      <c r="F30" s="52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138"/>
      <c r="U30" s="138"/>
    </row>
    <row r="31" spans="1:22" ht="21" customHeight="1">
      <c r="A31" s="144"/>
      <c r="B31" s="1"/>
      <c r="C31" s="117"/>
      <c r="D31" s="203"/>
      <c r="E31" s="36"/>
      <c r="F31" s="52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138"/>
      <c r="U31" s="138"/>
      <c r="V31" s="278"/>
    </row>
    <row r="32" spans="1:21" ht="21" customHeight="1" thickBot="1">
      <c r="A32" s="144"/>
      <c r="B32" s="1"/>
      <c r="C32" s="117"/>
      <c r="D32" s="203" t="s">
        <v>0</v>
      </c>
      <c r="E32" s="36"/>
      <c r="F32" s="52"/>
      <c r="G32" s="91">
        <f>SUM(G26:G29)</f>
        <v>65000</v>
      </c>
      <c r="H32" s="91">
        <f aca="true" t="shared" si="4" ref="H32:U32">SUM(H26:H29)</f>
        <v>0</v>
      </c>
      <c r="I32" s="91">
        <f t="shared" si="4"/>
        <v>1900</v>
      </c>
      <c r="J32" s="91">
        <f t="shared" si="4"/>
        <v>29500</v>
      </c>
      <c r="K32" s="91">
        <f t="shared" si="4"/>
        <v>0</v>
      </c>
      <c r="L32" s="91">
        <f t="shared" si="4"/>
        <v>0</v>
      </c>
      <c r="M32" s="91">
        <f t="shared" si="4"/>
        <v>0</v>
      </c>
      <c r="N32" s="91">
        <f t="shared" si="4"/>
        <v>7800</v>
      </c>
      <c r="O32" s="91">
        <f t="shared" si="4"/>
        <v>0</v>
      </c>
      <c r="P32" s="91">
        <f t="shared" si="4"/>
        <v>0</v>
      </c>
      <c r="Q32" s="91">
        <f t="shared" si="4"/>
        <v>0</v>
      </c>
      <c r="R32" s="91">
        <f t="shared" si="4"/>
        <v>0</v>
      </c>
      <c r="S32" s="91">
        <f t="shared" si="4"/>
        <v>0</v>
      </c>
      <c r="T32" s="91">
        <f t="shared" si="4"/>
        <v>39200</v>
      </c>
      <c r="U32" s="91">
        <f t="shared" si="4"/>
        <v>25800</v>
      </c>
    </row>
    <row r="33" spans="1:21" ht="20.25" customHeight="1" thickTop="1">
      <c r="A33" s="760" t="s">
        <v>20</v>
      </c>
      <c r="B33" s="760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</row>
    <row r="34" spans="1:22" ht="20.25" customHeight="1">
      <c r="A34" s="739" t="s">
        <v>490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6"/>
    </row>
    <row r="35" spans="1:22" ht="20.25" customHeight="1">
      <c r="A35" s="659" t="s">
        <v>4</v>
      </c>
      <c r="B35" s="119"/>
      <c r="C35" s="715" t="s">
        <v>51</v>
      </c>
      <c r="D35" s="726"/>
      <c r="E35" s="120" t="s">
        <v>9</v>
      </c>
      <c r="F35" s="120" t="s">
        <v>9</v>
      </c>
      <c r="G35" s="121" t="s">
        <v>25</v>
      </c>
      <c r="H35" s="120" t="s">
        <v>26</v>
      </c>
      <c r="I35" s="121" t="s">
        <v>27</v>
      </c>
      <c r="J35" s="120" t="s">
        <v>28</v>
      </c>
      <c r="K35" s="121" t="s">
        <v>29</v>
      </c>
      <c r="L35" s="120" t="s">
        <v>30</v>
      </c>
      <c r="M35" s="121" t="s">
        <v>31</v>
      </c>
      <c r="N35" s="120" t="s">
        <v>32</v>
      </c>
      <c r="O35" s="121" t="s">
        <v>33</v>
      </c>
      <c r="P35" s="120" t="s">
        <v>34</v>
      </c>
      <c r="Q35" s="121" t="s">
        <v>35</v>
      </c>
      <c r="R35" s="120" t="s">
        <v>36</v>
      </c>
      <c r="S35" s="120" t="s">
        <v>37</v>
      </c>
      <c r="T35" s="120" t="s">
        <v>25</v>
      </c>
      <c r="U35" s="125" t="s">
        <v>6</v>
      </c>
      <c r="V35" s="175"/>
    </row>
    <row r="36" spans="1:22" ht="20.25" customHeight="1">
      <c r="A36" s="660"/>
      <c r="B36" s="92" t="s">
        <v>8</v>
      </c>
      <c r="C36" s="101" t="s">
        <v>9</v>
      </c>
      <c r="D36" s="94" t="s">
        <v>46</v>
      </c>
      <c r="E36" s="95" t="s">
        <v>10</v>
      </c>
      <c r="F36" s="95" t="s">
        <v>11</v>
      </c>
      <c r="G36" s="96"/>
      <c r="H36" s="182"/>
      <c r="I36" s="172"/>
      <c r="J36" s="182"/>
      <c r="K36" s="172"/>
      <c r="L36" s="182"/>
      <c r="M36" s="172"/>
      <c r="N36" s="182"/>
      <c r="O36" s="172"/>
      <c r="P36" s="182"/>
      <c r="Q36" s="172"/>
      <c r="R36" s="182"/>
      <c r="S36" s="182"/>
      <c r="T36" s="95"/>
      <c r="U36" s="99" t="s">
        <v>5</v>
      </c>
      <c r="V36" s="175"/>
    </row>
    <row r="37" spans="1:21" ht="20.25" customHeight="1">
      <c r="A37" s="105" t="s">
        <v>314</v>
      </c>
      <c r="B37" s="279" t="s">
        <v>155</v>
      </c>
      <c r="C37" s="724">
        <f>SUM(D38:D60)</f>
        <v>624200</v>
      </c>
      <c r="D37" s="725"/>
      <c r="E37" s="3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2" ht="20.25" customHeight="1">
      <c r="A38" s="160" t="s">
        <v>281</v>
      </c>
      <c r="B38" s="750" t="s">
        <v>214</v>
      </c>
      <c r="C38" s="751"/>
      <c r="D38" s="36">
        <v>10000</v>
      </c>
      <c r="E38" s="36"/>
      <c r="F38" s="52"/>
      <c r="G38" s="52">
        <f aca="true" t="shared" si="5" ref="G38:G49">+D38+E38-F38</f>
        <v>10000</v>
      </c>
      <c r="H38" s="52">
        <v>0</v>
      </c>
      <c r="I38" s="52">
        <v>0</v>
      </c>
      <c r="J38" s="52">
        <v>0</v>
      </c>
      <c r="K38" s="52">
        <f>2980+225+1680</f>
        <v>4885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135">
        <f aca="true" t="shared" si="6" ref="T38:T49">SUM(H38:S38)</f>
        <v>4885</v>
      </c>
      <c r="U38" s="135">
        <f aca="true" t="shared" si="7" ref="U38:U49">+G38-T38</f>
        <v>5115</v>
      </c>
      <c r="V38" s="278"/>
    </row>
    <row r="39" spans="1:22" ht="20.25" customHeight="1">
      <c r="A39" s="160" t="s">
        <v>68</v>
      </c>
      <c r="B39" s="752" t="s">
        <v>213</v>
      </c>
      <c r="C39" s="753"/>
      <c r="D39" s="36">
        <v>25000</v>
      </c>
      <c r="E39" s="36"/>
      <c r="F39" s="52"/>
      <c r="G39" s="52">
        <f t="shared" si="5"/>
        <v>25000</v>
      </c>
      <c r="H39" s="52">
        <v>0</v>
      </c>
      <c r="I39" s="52">
        <v>0</v>
      </c>
      <c r="J39" s="52">
        <v>0</v>
      </c>
      <c r="K39" s="52">
        <v>0</v>
      </c>
      <c r="L39" s="52">
        <v>1190</v>
      </c>
      <c r="M39" s="52">
        <v>0</v>
      </c>
      <c r="N39" s="52">
        <v>1868</v>
      </c>
      <c r="O39" s="52">
        <v>400</v>
      </c>
      <c r="P39" s="52">
        <v>0</v>
      </c>
      <c r="Q39" s="52">
        <v>0</v>
      </c>
      <c r="R39" s="52">
        <v>0</v>
      </c>
      <c r="S39" s="52">
        <v>0</v>
      </c>
      <c r="T39" s="135">
        <f t="shared" si="6"/>
        <v>3458</v>
      </c>
      <c r="U39" s="135">
        <f t="shared" si="7"/>
        <v>21542</v>
      </c>
      <c r="V39" s="278"/>
    </row>
    <row r="40" spans="1:21" ht="20.25" customHeight="1">
      <c r="A40" s="144" t="s">
        <v>282</v>
      </c>
      <c r="B40" s="750" t="s">
        <v>214</v>
      </c>
      <c r="C40" s="751"/>
      <c r="D40" s="36">
        <v>0</v>
      </c>
      <c r="E40" s="36"/>
      <c r="F40" s="52"/>
      <c r="G40" s="52">
        <f>+D40+E40-F40</f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135">
        <f>SUM(H40:S40)</f>
        <v>0</v>
      </c>
      <c r="U40" s="135">
        <f>+G40-T40</f>
        <v>0</v>
      </c>
    </row>
    <row r="41" spans="1:23" ht="20.25" customHeight="1">
      <c r="A41" s="144" t="s">
        <v>366</v>
      </c>
      <c r="B41" s="750" t="s">
        <v>214</v>
      </c>
      <c r="C41" s="751"/>
      <c r="D41" s="36">
        <v>50000</v>
      </c>
      <c r="E41" s="36"/>
      <c r="F41" s="52"/>
      <c r="G41" s="52">
        <f t="shared" si="5"/>
        <v>50000</v>
      </c>
      <c r="H41" s="52">
        <v>0</v>
      </c>
      <c r="I41" s="52">
        <v>0</v>
      </c>
      <c r="J41" s="52">
        <v>0</v>
      </c>
      <c r="K41" s="52">
        <f>2700+14940+15000+7300+10000</f>
        <v>49940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135">
        <f t="shared" si="6"/>
        <v>49940</v>
      </c>
      <c r="U41" s="135">
        <f t="shared" si="7"/>
        <v>60</v>
      </c>
      <c r="V41" s="278"/>
      <c r="W41" s="278"/>
    </row>
    <row r="42" spans="1:22" ht="20.25" customHeight="1">
      <c r="A42" s="144" t="s">
        <v>427</v>
      </c>
      <c r="B42" s="750" t="s">
        <v>214</v>
      </c>
      <c r="C42" s="751"/>
      <c r="D42" s="36">
        <v>20000</v>
      </c>
      <c r="E42" s="36"/>
      <c r="F42" s="52"/>
      <c r="G42" s="52">
        <f t="shared" si="5"/>
        <v>20000</v>
      </c>
      <c r="H42" s="52">
        <v>0</v>
      </c>
      <c r="I42" s="52">
        <v>0</v>
      </c>
      <c r="J42" s="52">
        <v>0</v>
      </c>
      <c r="K42" s="52">
        <f>450+3500+1000+5000</f>
        <v>9950</v>
      </c>
      <c r="L42" s="52">
        <v>9860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135">
        <f t="shared" si="6"/>
        <v>19810</v>
      </c>
      <c r="U42" s="135">
        <f t="shared" si="7"/>
        <v>190</v>
      </c>
      <c r="V42" s="278"/>
    </row>
    <row r="43" spans="1:21" ht="20.25" customHeight="1">
      <c r="A43" s="144" t="s">
        <v>283</v>
      </c>
      <c r="B43" s="750" t="s">
        <v>214</v>
      </c>
      <c r="C43" s="751"/>
      <c r="D43" s="36">
        <v>5000</v>
      </c>
      <c r="E43" s="36"/>
      <c r="F43" s="52"/>
      <c r="G43" s="52">
        <f t="shared" si="5"/>
        <v>5000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135">
        <f t="shared" si="6"/>
        <v>0</v>
      </c>
      <c r="U43" s="135">
        <f t="shared" si="7"/>
        <v>5000</v>
      </c>
    </row>
    <row r="44" spans="1:22" s="460" customFormat="1" ht="20.25" customHeight="1">
      <c r="A44" s="466" t="s">
        <v>307</v>
      </c>
      <c r="B44" s="744" t="s">
        <v>214</v>
      </c>
      <c r="C44" s="745"/>
      <c r="D44" s="458">
        <v>10000</v>
      </c>
      <c r="E44" s="458"/>
      <c r="F44" s="459"/>
      <c r="G44" s="459">
        <f t="shared" si="5"/>
        <v>10000</v>
      </c>
      <c r="H44" s="459">
        <v>0</v>
      </c>
      <c r="I44" s="459">
        <v>0</v>
      </c>
      <c r="J44" s="459">
        <v>0</v>
      </c>
      <c r="K44" s="459">
        <v>0</v>
      </c>
      <c r="L44" s="459">
        <v>0</v>
      </c>
      <c r="M44" s="459">
        <v>0</v>
      </c>
      <c r="N44" s="459">
        <v>0</v>
      </c>
      <c r="O44" s="459">
        <v>0</v>
      </c>
      <c r="P44" s="459">
        <v>0</v>
      </c>
      <c r="Q44" s="459">
        <v>0</v>
      </c>
      <c r="R44" s="459">
        <v>0</v>
      </c>
      <c r="S44" s="459">
        <f>984+1000+2000+1920+4080</f>
        <v>9984</v>
      </c>
      <c r="T44" s="447">
        <f t="shared" si="6"/>
        <v>9984</v>
      </c>
      <c r="U44" s="447">
        <f t="shared" si="7"/>
        <v>16</v>
      </c>
      <c r="V44" s="468"/>
    </row>
    <row r="45" spans="1:21" s="460" customFormat="1" ht="20.25" customHeight="1">
      <c r="A45" s="466" t="s">
        <v>367</v>
      </c>
      <c r="B45" s="744" t="s">
        <v>214</v>
      </c>
      <c r="C45" s="745"/>
      <c r="D45" s="458">
        <v>10000</v>
      </c>
      <c r="E45" s="458"/>
      <c r="F45" s="459"/>
      <c r="G45" s="459">
        <f t="shared" si="5"/>
        <v>10000</v>
      </c>
      <c r="H45" s="459">
        <v>0</v>
      </c>
      <c r="I45" s="459">
        <v>0</v>
      </c>
      <c r="J45" s="459">
        <v>0</v>
      </c>
      <c r="K45" s="459">
        <v>0</v>
      </c>
      <c r="L45" s="459">
        <v>0</v>
      </c>
      <c r="M45" s="459">
        <v>0</v>
      </c>
      <c r="N45" s="459">
        <f>2000+3950+1000+2940</f>
        <v>9890</v>
      </c>
      <c r="O45" s="459">
        <v>0</v>
      </c>
      <c r="P45" s="459">
        <v>0</v>
      </c>
      <c r="Q45" s="459">
        <v>0</v>
      </c>
      <c r="R45" s="459">
        <v>0</v>
      </c>
      <c r="S45" s="459">
        <v>0</v>
      </c>
      <c r="T45" s="447">
        <f t="shared" si="6"/>
        <v>9890</v>
      </c>
      <c r="U45" s="447">
        <f t="shared" si="7"/>
        <v>110</v>
      </c>
    </row>
    <row r="46" spans="1:22" s="460" customFormat="1" ht="20.25" customHeight="1">
      <c r="A46" s="467" t="s">
        <v>308</v>
      </c>
      <c r="B46" s="744" t="s">
        <v>214</v>
      </c>
      <c r="C46" s="745"/>
      <c r="D46" s="458">
        <v>156800</v>
      </c>
      <c r="E46" s="458">
        <v>9160</v>
      </c>
      <c r="F46" s="459"/>
      <c r="G46" s="459">
        <f t="shared" si="5"/>
        <v>165960</v>
      </c>
      <c r="H46" s="459">
        <v>0</v>
      </c>
      <c r="I46" s="459">
        <v>41600</v>
      </c>
      <c r="J46" s="459">
        <v>0</v>
      </c>
      <c r="K46" s="459">
        <v>38400</v>
      </c>
      <c r="L46" s="459">
        <v>0</v>
      </c>
      <c r="M46" s="459">
        <v>0</v>
      </c>
      <c r="N46" s="459">
        <v>38400</v>
      </c>
      <c r="O46" s="459">
        <v>0</v>
      </c>
      <c r="P46" s="459">
        <f>4360</f>
        <v>4360</v>
      </c>
      <c r="Q46" s="459">
        <v>0</v>
      </c>
      <c r="R46" s="459">
        <v>0</v>
      </c>
      <c r="S46" s="459">
        <v>0</v>
      </c>
      <c r="T46" s="447">
        <f t="shared" si="6"/>
        <v>122760</v>
      </c>
      <c r="U46" s="447">
        <f t="shared" si="7"/>
        <v>43200</v>
      </c>
      <c r="V46" s="468"/>
    </row>
    <row r="47" spans="1:22" s="460" customFormat="1" ht="20.25" customHeight="1">
      <c r="A47" s="467" t="s">
        <v>309</v>
      </c>
      <c r="B47" s="744" t="s">
        <v>214</v>
      </c>
      <c r="C47" s="745"/>
      <c r="D47" s="458">
        <v>54400</v>
      </c>
      <c r="E47" s="458"/>
      <c r="F47" s="459"/>
      <c r="G47" s="459">
        <f t="shared" si="5"/>
        <v>54400</v>
      </c>
      <c r="H47" s="459">
        <v>0</v>
      </c>
      <c r="I47" s="459">
        <v>54400</v>
      </c>
      <c r="J47" s="459">
        <v>0</v>
      </c>
      <c r="K47" s="459">
        <v>0</v>
      </c>
      <c r="L47" s="459">
        <v>0</v>
      </c>
      <c r="M47" s="459">
        <v>0</v>
      </c>
      <c r="N47" s="459">
        <v>0</v>
      </c>
      <c r="O47" s="459">
        <v>0</v>
      </c>
      <c r="P47" s="459">
        <v>0</v>
      </c>
      <c r="Q47" s="459">
        <v>0</v>
      </c>
      <c r="R47" s="459">
        <v>0</v>
      </c>
      <c r="S47" s="459">
        <v>0</v>
      </c>
      <c r="T47" s="447">
        <f>SUM(H47:S47)</f>
        <v>54400</v>
      </c>
      <c r="U47" s="447">
        <f>+G47-T47</f>
        <v>0</v>
      </c>
      <c r="V47" s="468"/>
    </row>
    <row r="48" spans="1:21" ht="20.25" customHeight="1">
      <c r="A48" s="144" t="s">
        <v>284</v>
      </c>
      <c r="B48" s="750" t="s">
        <v>214</v>
      </c>
      <c r="C48" s="751"/>
      <c r="D48" s="36">
        <v>0</v>
      </c>
      <c r="E48" s="36"/>
      <c r="F48" s="52"/>
      <c r="G48" s="52">
        <f t="shared" si="5"/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135">
        <f t="shared" si="6"/>
        <v>0</v>
      </c>
      <c r="U48" s="135">
        <f t="shared" si="7"/>
        <v>0</v>
      </c>
    </row>
    <row r="49" spans="1:23" ht="20.25" customHeight="1">
      <c r="A49" s="144" t="s">
        <v>285</v>
      </c>
      <c r="B49" s="750" t="s">
        <v>214</v>
      </c>
      <c r="C49" s="751"/>
      <c r="D49" s="36">
        <v>5000</v>
      </c>
      <c r="E49" s="36"/>
      <c r="F49" s="52"/>
      <c r="G49" s="52">
        <f t="shared" si="5"/>
        <v>5000</v>
      </c>
      <c r="H49" s="52">
        <v>0</v>
      </c>
      <c r="I49" s="52">
        <v>0</v>
      </c>
      <c r="J49" s="52">
        <v>0</v>
      </c>
      <c r="K49" s="52">
        <f>225+3860</f>
        <v>4085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135">
        <f t="shared" si="6"/>
        <v>4085</v>
      </c>
      <c r="U49" s="135">
        <f t="shared" si="7"/>
        <v>915</v>
      </c>
      <c r="V49" s="278"/>
      <c r="W49" s="278"/>
    </row>
    <row r="50" spans="1:22" s="460" customFormat="1" ht="20.25" customHeight="1">
      <c r="A50" s="466" t="s">
        <v>455</v>
      </c>
      <c r="B50" s="748" t="s">
        <v>216</v>
      </c>
      <c r="C50" s="749"/>
      <c r="D50" s="458">
        <v>50000</v>
      </c>
      <c r="E50" s="458"/>
      <c r="F50" s="459"/>
      <c r="G50" s="459">
        <f aca="true" t="shared" si="8" ref="G50:G58">+D50+E50-F50</f>
        <v>50000</v>
      </c>
      <c r="H50" s="459">
        <v>0</v>
      </c>
      <c r="I50" s="459">
        <v>0</v>
      </c>
      <c r="J50" s="459">
        <v>0</v>
      </c>
      <c r="K50" s="459">
        <v>0</v>
      </c>
      <c r="L50" s="459">
        <f>1500+6100+3000+6000</f>
        <v>16600</v>
      </c>
      <c r="M50" s="459">
        <f>29500+3900</f>
        <v>33400</v>
      </c>
      <c r="N50" s="459">
        <v>0</v>
      </c>
      <c r="O50" s="459">
        <v>0</v>
      </c>
      <c r="P50" s="459">
        <v>0</v>
      </c>
      <c r="Q50" s="459">
        <v>0</v>
      </c>
      <c r="R50" s="459">
        <v>0</v>
      </c>
      <c r="S50" s="459">
        <v>0</v>
      </c>
      <c r="T50" s="447">
        <f aca="true" t="shared" si="9" ref="T50:T58">SUM(H50:S50)</f>
        <v>50000</v>
      </c>
      <c r="U50" s="447">
        <f aca="true" t="shared" si="10" ref="U50:U58">+G50-T50</f>
        <v>0</v>
      </c>
      <c r="V50" s="468"/>
    </row>
    <row r="51" spans="1:22" ht="20.25" customHeight="1">
      <c r="A51" s="177" t="s">
        <v>486</v>
      </c>
      <c r="B51" s="746" t="s">
        <v>291</v>
      </c>
      <c r="C51" s="747"/>
      <c r="D51" s="36">
        <v>60000</v>
      </c>
      <c r="E51" s="36"/>
      <c r="F51" s="52"/>
      <c r="G51" s="52">
        <f t="shared" si="8"/>
        <v>60000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135">
        <f t="shared" si="9"/>
        <v>0</v>
      </c>
      <c r="U51" s="135">
        <f t="shared" si="10"/>
        <v>60000</v>
      </c>
      <c r="V51" s="278"/>
    </row>
    <row r="52" spans="1:22" ht="20.25" customHeight="1">
      <c r="A52" s="144" t="s">
        <v>292</v>
      </c>
      <c r="B52" s="746" t="s">
        <v>291</v>
      </c>
      <c r="C52" s="747"/>
      <c r="D52" s="36">
        <v>10000</v>
      </c>
      <c r="E52" s="36"/>
      <c r="F52" s="52"/>
      <c r="G52" s="52">
        <f>+D52+E52-F52</f>
        <v>10000</v>
      </c>
      <c r="H52" s="52">
        <v>0</v>
      </c>
      <c r="I52" s="52">
        <v>0</v>
      </c>
      <c r="J52" s="52">
        <v>0</v>
      </c>
      <c r="K52" s="52">
        <f>4000+495+4500</f>
        <v>8995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135">
        <f t="shared" si="9"/>
        <v>8995</v>
      </c>
      <c r="U52" s="135">
        <f t="shared" si="10"/>
        <v>1005</v>
      </c>
      <c r="V52" s="278"/>
    </row>
    <row r="53" spans="1:23" ht="20.25" customHeight="1">
      <c r="A53" s="144" t="s">
        <v>293</v>
      </c>
      <c r="B53" s="746" t="s">
        <v>291</v>
      </c>
      <c r="C53" s="747"/>
      <c r="D53" s="36">
        <v>50000</v>
      </c>
      <c r="E53" s="36"/>
      <c r="F53" s="52">
        <v>0</v>
      </c>
      <c r="G53" s="52">
        <f t="shared" si="8"/>
        <v>50000</v>
      </c>
      <c r="H53" s="52">
        <v>0</v>
      </c>
      <c r="I53" s="52">
        <f>5000+5000+5000+2300+1339.34</f>
        <v>18639.34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135">
        <f t="shared" si="9"/>
        <v>18639.34</v>
      </c>
      <c r="U53" s="135">
        <f t="shared" si="10"/>
        <v>31360.66</v>
      </c>
      <c r="V53" s="278"/>
      <c r="W53" s="278"/>
    </row>
    <row r="54" spans="1:22" ht="20.25" customHeight="1">
      <c r="A54" s="177" t="s">
        <v>384</v>
      </c>
      <c r="B54" s="746" t="s">
        <v>291</v>
      </c>
      <c r="C54" s="747"/>
      <c r="D54" s="36">
        <v>30000</v>
      </c>
      <c r="E54" s="36"/>
      <c r="F54" s="52"/>
      <c r="G54" s="52">
        <f t="shared" si="8"/>
        <v>30000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f>1200+28000</f>
        <v>29200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135">
        <f t="shared" si="9"/>
        <v>29200</v>
      </c>
      <c r="U54" s="135">
        <f t="shared" si="10"/>
        <v>800</v>
      </c>
      <c r="V54" s="278"/>
    </row>
    <row r="55" spans="1:22" s="460" customFormat="1" ht="20.25" customHeight="1">
      <c r="A55" s="487" t="s">
        <v>385</v>
      </c>
      <c r="B55" s="748" t="s">
        <v>291</v>
      </c>
      <c r="C55" s="749"/>
      <c r="D55" s="458">
        <v>18000</v>
      </c>
      <c r="E55" s="458"/>
      <c r="F55" s="459"/>
      <c r="G55" s="459">
        <f t="shared" si="8"/>
        <v>18000</v>
      </c>
      <c r="H55" s="459">
        <v>0</v>
      </c>
      <c r="I55" s="459">
        <v>0</v>
      </c>
      <c r="J55" s="459">
        <v>0</v>
      </c>
      <c r="K55" s="459">
        <v>0</v>
      </c>
      <c r="L55" s="459">
        <v>0</v>
      </c>
      <c r="M55" s="459">
        <v>0</v>
      </c>
      <c r="N55" s="459">
        <v>0</v>
      </c>
      <c r="O55" s="459">
        <v>0</v>
      </c>
      <c r="P55" s="459">
        <v>18000</v>
      </c>
      <c r="Q55" s="459">
        <v>0</v>
      </c>
      <c r="R55" s="459">
        <v>0</v>
      </c>
      <c r="S55" s="459">
        <v>0</v>
      </c>
      <c r="T55" s="447">
        <f t="shared" si="9"/>
        <v>18000</v>
      </c>
      <c r="U55" s="447">
        <f t="shared" si="10"/>
        <v>0</v>
      </c>
      <c r="V55" s="468"/>
    </row>
    <row r="56" spans="1:22" s="460" customFormat="1" ht="20.25" customHeight="1">
      <c r="A56" s="487" t="s">
        <v>312</v>
      </c>
      <c r="B56" s="748" t="s">
        <v>291</v>
      </c>
      <c r="C56" s="749"/>
      <c r="D56" s="458">
        <v>10000</v>
      </c>
      <c r="E56" s="458"/>
      <c r="F56" s="459"/>
      <c r="G56" s="459">
        <f>+D56+E56-F56</f>
        <v>10000</v>
      </c>
      <c r="H56" s="459">
        <v>0</v>
      </c>
      <c r="I56" s="459">
        <v>0</v>
      </c>
      <c r="J56" s="459">
        <v>0</v>
      </c>
      <c r="K56" s="459">
        <v>0</v>
      </c>
      <c r="L56" s="459">
        <v>0</v>
      </c>
      <c r="M56" s="459">
        <v>0</v>
      </c>
      <c r="N56" s="459">
        <v>0</v>
      </c>
      <c r="O56" s="459">
        <v>0</v>
      </c>
      <c r="P56" s="459">
        <v>10000</v>
      </c>
      <c r="Q56" s="459">
        <v>0</v>
      </c>
      <c r="R56" s="459">
        <v>0</v>
      </c>
      <c r="S56" s="459">
        <v>0</v>
      </c>
      <c r="T56" s="447">
        <f>SUM(H56:S56)</f>
        <v>10000</v>
      </c>
      <c r="U56" s="447">
        <f>+G56-T56</f>
        <v>0</v>
      </c>
      <c r="V56" s="468"/>
    </row>
    <row r="57" spans="1:21" ht="20.25" customHeight="1">
      <c r="A57" s="177" t="s">
        <v>386</v>
      </c>
      <c r="B57" s="746" t="s">
        <v>313</v>
      </c>
      <c r="C57" s="747"/>
      <c r="D57" s="36">
        <v>20000</v>
      </c>
      <c r="E57" s="36"/>
      <c r="F57" s="52"/>
      <c r="G57" s="52">
        <f t="shared" si="8"/>
        <v>20000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f>3600+3000+450+7500+4870</f>
        <v>19420</v>
      </c>
      <c r="T57" s="135">
        <f t="shared" si="9"/>
        <v>19420</v>
      </c>
      <c r="U57" s="135">
        <f t="shared" si="10"/>
        <v>580</v>
      </c>
    </row>
    <row r="58" spans="1:21" ht="20.25" customHeight="1">
      <c r="A58" s="177" t="s">
        <v>456</v>
      </c>
      <c r="B58" s="746" t="s">
        <v>313</v>
      </c>
      <c r="C58" s="747"/>
      <c r="D58" s="36">
        <v>30000</v>
      </c>
      <c r="E58" s="36"/>
      <c r="F58" s="52"/>
      <c r="G58" s="52">
        <f t="shared" si="8"/>
        <v>30000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135">
        <f t="shared" si="9"/>
        <v>0</v>
      </c>
      <c r="U58" s="135">
        <f t="shared" si="10"/>
        <v>30000</v>
      </c>
    </row>
    <row r="59" spans="1:21" ht="20.25" customHeight="1">
      <c r="A59" s="177"/>
      <c r="B59" s="362"/>
      <c r="C59" s="308"/>
      <c r="D59" s="36"/>
      <c r="E59" s="36"/>
      <c r="F59" s="52"/>
      <c r="G59" s="52">
        <f>+D59+E59-F59</f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135">
        <f>SUM(H59:S59)</f>
        <v>0</v>
      </c>
      <c r="U59" s="135">
        <f>+G59-T59</f>
        <v>0</v>
      </c>
    </row>
    <row r="60" spans="1:21" ht="20.25" customHeight="1">
      <c r="A60" s="351" t="s">
        <v>324</v>
      </c>
      <c r="B60" s="746"/>
      <c r="C60" s="747"/>
      <c r="D60" s="36"/>
      <c r="E60" s="36"/>
      <c r="F60" s="52"/>
      <c r="G60" s="52">
        <f>+D60+E60-F60</f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135">
        <f>SUM(H60:S60)</f>
        <v>0</v>
      </c>
      <c r="U60" s="135">
        <f>+G60-T60</f>
        <v>0</v>
      </c>
    </row>
    <row r="61" spans="1:22" ht="20.25" customHeight="1" thickBot="1">
      <c r="A61" s="144"/>
      <c r="B61" s="1"/>
      <c r="C61" s="50"/>
      <c r="D61" s="50" t="s">
        <v>0</v>
      </c>
      <c r="E61" s="36"/>
      <c r="F61" s="52"/>
      <c r="G61" s="91">
        <f aca="true" t="shared" si="11" ref="G61:U61">SUM(G38:G60)</f>
        <v>633360</v>
      </c>
      <c r="H61" s="91">
        <f t="shared" si="11"/>
        <v>0</v>
      </c>
      <c r="I61" s="91">
        <f t="shared" si="11"/>
        <v>114639.34</v>
      </c>
      <c r="J61" s="91">
        <f t="shared" si="11"/>
        <v>0</v>
      </c>
      <c r="K61" s="91">
        <f t="shared" si="11"/>
        <v>116255</v>
      </c>
      <c r="L61" s="91">
        <f t="shared" si="11"/>
        <v>27650</v>
      </c>
      <c r="M61" s="91">
        <f t="shared" si="11"/>
        <v>62600</v>
      </c>
      <c r="N61" s="91">
        <f t="shared" si="11"/>
        <v>50158</v>
      </c>
      <c r="O61" s="91">
        <f t="shared" si="11"/>
        <v>400</v>
      </c>
      <c r="P61" s="91">
        <f t="shared" si="11"/>
        <v>32360</v>
      </c>
      <c r="Q61" s="91">
        <f t="shared" si="11"/>
        <v>0</v>
      </c>
      <c r="R61" s="91">
        <f t="shared" si="11"/>
        <v>0</v>
      </c>
      <c r="S61" s="91">
        <f t="shared" si="11"/>
        <v>29404</v>
      </c>
      <c r="T61" s="91">
        <f t="shared" si="11"/>
        <v>433466.34</v>
      </c>
      <c r="U61" s="91">
        <f t="shared" si="11"/>
        <v>199893.66</v>
      </c>
      <c r="V61" s="278"/>
    </row>
    <row r="62" spans="1:22" ht="20.25" customHeight="1" thickTop="1">
      <c r="A62" s="105" t="s">
        <v>268</v>
      </c>
      <c r="B62" s="279" t="s">
        <v>160</v>
      </c>
      <c r="C62" s="724">
        <f>D63</f>
        <v>15000</v>
      </c>
      <c r="D62" s="725"/>
      <c r="E62" s="36"/>
      <c r="F62" s="52"/>
      <c r="G62" s="52"/>
      <c r="H62" s="247"/>
      <c r="I62" s="247"/>
      <c r="J62" s="247"/>
      <c r="K62" s="247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78"/>
    </row>
    <row r="63" spans="1:21" ht="20.25" customHeight="1">
      <c r="A63" s="160" t="s">
        <v>161</v>
      </c>
      <c r="B63" s="752" t="s">
        <v>213</v>
      </c>
      <c r="C63" s="753"/>
      <c r="D63" s="286">
        <v>15000</v>
      </c>
      <c r="E63" s="36"/>
      <c r="F63" s="52"/>
      <c r="G63" s="52">
        <f>+D63+E63-F63</f>
        <v>15000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f>2600+900-100</f>
        <v>3400</v>
      </c>
      <c r="S63" s="89">
        <v>0</v>
      </c>
      <c r="T63" s="135">
        <f>SUM(H63:S63)</f>
        <v>3400</v>
      </c>
      <c r="U63" s="135">
        <f>+G63-T63</f>
        <v>11600</v>
      </c>
    </row>
    <row r="64" spans="1:21" ht="20.25" customHeight="1" thickBot="1">
      <c r="A64" s="144"/>
      <c r="B64" s="1"/>
      <c r="C64" s="28"/>
      <c r="D64" s="50" t="s">
        <v>0</v>
      </c>
      <c r="E64" s="36"/>
      <c r="F64" s="52"/>
      <c r="G64" s="91">
        <f>G63</f>
        <v>15000</v>
      </c>
      <c r="H64" s="91">
        <f aca="true" t="shared" si="12" ref="H64:U64">H63</f>
        <v>0</v>
      </c>
      <c r="I64" s="91">
        <f t="shared" si="12"/>
        <v>0</v>
      </c>
      <c r="J64" s="91">
        <f t="shared" si="12"/>
        <v>0</v>
      </c>
      <c r="K64" s="91">
        <f t="shared" si="12"/>
        <v>0</v>
      </c>
      <c r="L64" s="91">
        <f t="shared" si="12"/>
        <v>0</v>
      </c>
      <c r="M64" s="91">
        <f t="shared" si="12"/>
        <v>0</v>
      </c>
      <c r="N64" s="91">
        <f t="shared" si="12"/>
        <v>0</v>
      </c>
      <c r="O64" s="91">
        <f t="shared" si="12"/>
        <v>0</v>
      </c>
      <c r="P64" s="91">
        <f t="shared" si="12"/>
        <v>0</v>
      </c>
      <c r="Q64" s="91">
        <f t="shared" si="12"/>
        <v>0</v>
      </c>
      <c r="R64" s="91">
        <f t="shared" si="12"/>
        <v>3400</v>
      </c>
      <c r="S64" s="91">
        <f t="shared" si="12"/>
        <v>0</v>
      </c>
      <c r="T64" s="91">
        <f t="shared" si="12"/>
        <v>3400</v>
      </c>
      <c r="U64" s="91">
        <f t="shared" si="12"/>
        <v>11600</v>
      </c>
    </row>
    <row r="65" spans="1:21" ht="20.25" customHeight="1" thickBot="1" thickTop="1">
      <c r="A65" s="144"/>
      <c r="B65" s="1"/>
      <c r="C65" s="28"/>
      <c r="D65" s="50" t="s">
        <v>7</v>
      </c>
      <c r="E65" s="36"/>
      <c r="F65" s="52"/>
      <c r="G65" s="91">
        <f aca="true" t="shared" si="13" ref="G65:U65">G32+G61+G64</f>
        <v>713360</v>
      </c>
      <c r="H65" s="91">
        <f t="shared" si="13"/>
        <v>0</v>
      </c>
      <c r="I65" s="91">
        <f t="shared" si="13"/>
        <v>116539.34</v>
      </c>
      <c r="J65" s="91">
        <f t="shared" si="13"/>
        <v>29500</v>
      </c>
      <c r="K65" s="91">
        <f t="shared" si="13"/>
        <v>116255</v>
      </c>
      <c r="L65" s="91">
        <f t="shared" si="13"/>
        <v>27650</v>
      </c>
      <c r="M65" s="91">
        <f t="shared" si="13"/>
        <v>62600</v>
      </c>
      <c r="N65" s="91">
        <f t="shared" si="13"/>
        <v>57958</v>
      </c>
      <c r="O65" s="91">
        <f t="shared" si="13"/>
        <v>400</v>
      </c>
      <c r="P65" s="91">
        <f t="shared" si="13"/>
        <v>32360</v>
      </c>
      <c r="Q65" s="91">
        <f t="shared" si="13"/>
        <v>0</v>
      </c>
      <c r="R65" s="91">
        <f t="shared" si="13"/>
        <v>3400</v>
      </c>
      <c r="S65" s="91">
        <f t="shared" si="13"/>
        <v>29404</v>
      </c>
      <c r="T65" s="91">
        <f t="shared" si="13"/>
        <v>476066.34</v>
      </c>
      <c r="U65" s="91">
        <f t="shared" si="13"/>
        <v>237293.66</v>
      </c>
    </row>
    <row r="66" spans="1:21" ht="21" customHeight="1" thickTop="1">
      <c r="A66" s="720" t="s">
        <v>21</v>
      </c>
      <c r="B66" s="720"/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  <c r="Q66" s="720"/>
      <c r="R66" s="720"/>
      <c r="S66" s="720"/>
      <c r="T66" s="720"/>
      <c r="U66" s="720"/>
    </row>
    <row r="67" spans="1:21" ht="21" customHeight="1">
      <c r="A67" s="739" t="s">
        <v>490</v>
      </c>
      <c r="B67" s="739"/>
      <c r="C67" s="739"/>
      <c r="D67" s="739"/>
      <c r="E67" s="739"/>
      <c r="F67" s="739"/>
      <c r="G67" s="739"/>
      <c r="H67" s="739"/>
      <c r="I67" s="739"/>
      <c r="J67" s="739"/>
      <c r="K67" s="739"/>
      <c r="L67" s="739"/>
      <c r="M67" s="739"/>
      <c r="N67" s="739"/>
      <c r="O67" s="739"/>
      <c r="P67" s="739"/>
      <c r="Q67" s="739"/>
      <c r="R67" s="739"/>
      <c r="S67" s="739"/>
      <c r="T67" s="739"/>
      <c r="U67" s="739"/>
    </row>
    <row r="68" spans="1:21" ht="21" customHeight="1">
      <c r="A68" s="659" t="s">
        <v>4</v>
      </c>
      <c r="B68" s="119"/>
      <c r="C68" s="726" t="s">
        <v>51</v>
      </c>
      <c r="D68" s="756"/>
      <c r="E68" s="120" t="s">
        <v>9</v>
      </c>
      <c r="F68" s="120" t="s">
        <v>9</v>
      </c>
      <c r="G68" s="121" t="s">
        <v>25</v>
      </c>
      <c r="H68" s="120" t="s">
        <v>26</v>
      </c>
      <c r="I68" s="121" t="s">
        <v>27</v>
      </c>
      <c r="J68" s="120" t="s">
        <v>28</v>
      </c>
      <c r="K68" s="121" t="s">
        <v>29</v>
      </c>
      <c r="L68" s="120" t="s">
        <v>30</v>
      </c>
      <c r="M68" s="121" t="s">
        <v>31</v>
      </c>
      <c r="N68" s="120" t="s">
        <v>32</v>
      </c>
      <c r="O68" s="121" t="s">
        <v>33</v>
      </c>
      <c r="P68" s="120" t="s">
        <v>34</v>
      </c>
      <c r="Q68" s="121" t="s">
        <v>35</v>
      </c>
      <c r="R68" s="120" t="s">
        <v>36</v>
      </c>
      <c r="S68" s="120" t="s">
        <v>37</v>
      </c>
      <c r="T68" s="120" t="s">
        <v>25</v>
      </c>
      <c r="U68" s="125" t="s">
        <v>6</v>
      </c>
    </row>
    <row r="69" spans="1:21" ht="21" customHeight="1">
      <c r="A69" s="660"/>
      <c r="B69" s="92" t="s">
        <v>8</v>
      </c>
      <c r="C69" s="101" t="s">
        <v>9</v>
      </c>
      <c r="D69" s="94" t="s">
        <v>46</v>
      </c>
      <c r="E69" s="95" t="s">
        <v>10</v>
      </c>
      <c r="F69" s="95" t="s">
        <v>11</v>
      </c>
      <c r="G69" s="96"/>
      <c r="H69" s="182"/>
      <c r="I69" s="172"/>
      <c r="J69" s="182"/>
      <c r="K69" s="172"/>
      <c r="L69" s="182"/>
      <c r="M69" s="172"/>
      <c r="N69" s="182"/>
      <c r="O69" s="172"/>
      <c r="P69" s="182"/>
      <c r="Q69" s="172"/>
      <c r="R69" s="182"/>
      <c r="S69" s="182"/>
      <c r="T69" s="95"/>
      <c r="U69" s="99" t="s">
        <v>5</v>
      </c>
    </row>
    <row r="70" spans="1:21" ht="21" customHeight="1">
      <c r="A70" s="105" t="s">
        <v>249</v>
      </c>
      <c r="B70" s="279" t="s">
        <v>162</v>
      </c>
      <c r="C70" s="724">
        <f>D71+D72+D73+D74+D75+D77</f>
        <v>338743</v>
      </c>
      <c r="D70" s="725"/>
      <c r="E70" s="36"/>
      <c r="F70" s="52"/>
      <c r="G70" s="90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135"/>
      <c r="U70" s="135"/>
    </row>
    <row r="71" spans="1:21" ht="21" customHeight="1">
      <c r="A71" s="105" t="s">
        <v>269</v>
      </c>
      <c r="B71" s="279" t="s">
        <v>163</v>
      </c>
      <c r="C71" s="295" t="s">
        <v>215</v>
      </c>
      <c r="D71" s="36">
        <v>30000</v>
      </c>
      <c r="E71" s="36"/>
      <c r="F71" s="52"/>
      <c r="G71" s="52">
        <f>+D71+E71-F71</f>
        <v>30000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26060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3940</v>
      </c>
      <c r="T71" s="135">
        <f>SUM(H71:S71)</f>
        <v>30000</v>
      </c>
      <c r="U71" s="135">
        <f>+G71-T71</f>
        <v>0</v>
      </c>
    </row>
    <row r="72" spans="1:21" ht="21" customHeight="1">
      <c r="A72" s="105" t="s">
        <v>270</v>
      </c>
      <c r="B72" s="279" t="s">
        <v>164</v>
      </c>
      <c r="C72" s="295" t="s">
        <v>215</v>
      </c>
      <c r="D72" s="287">
        <v>25000</v>
      </c>
      <c r="E72" s="36"/>
      <c r="F72" s="52"/>
      <c r="G72" s="52">
        <f>+D72+E72-F72</f>
        <v>25000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11082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10494</v>
      </c>
      <c r="T72" s="135">
        <f>SUM(H72:S72)</f>
        <v>21576</v>
      </c>
      <c r="U72" s="135">
        <f>+G72-T72</f>
        <v>3424</v>
      </c>
    </row>
    <row r="73" spans="1:21" ht="21" customHeight="1">
      <c r="A73" s="105" t="s">
        <v>426</v>
      </c>
      <c r="B73" s="279"/>
      <c r="C73" s="295"/>
      <c r="D73" s="287">
        <v>15000</v>
      </c>
      <c r="E73" s="36"/>
      <c r="F73" s="52"/>
      <c r="G73" s="52">
        <f>+D73+E73-F73</f>
        <v>15000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9760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3420</v>
      </c>
      <c r="T73" s="135">
        <f>SUM(H73:S73)</f>
        <v>13180</v>
      </c>
      <c r="U73" s="135">
        <f>+G73-T73</f>
        <v>1820</v>
      </c>
    </row>
    <row r="74" spans="1:21" ht="21" customHeight="1">
      <c r="A74" s="105" t="s">
        <v>280</v>
      </c>
      <c r="B74" s="279" t="s">
        <v>200</v>
      </c>
      <c r="C74" s="295"/>
      <c r="D74" s="279"/>
      <c r="E74" s="36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135"/>
      <c r="U74" s="135"/>
    </row>
    <row r="75" spans="1:22" s="460" customFormat="1" ht="21" customHeight="1">
      <c r="A75" s="469" t="s">
        <v>483</v>
      </c>
      <c r="B75" s="744" t="s">
        <v>214</v>
      </c>
      <c r="C75" s="745"/>
      <c r="D75" s="470">
        <v>268743</v>
      </c>
      <c r="E75" s="458"/>
      <c r="F75" s="459"/>
      <c r="G75" s="459">
        <f>+D75+E75-F75</f>
        <v>268743</v>
      </c>
      <c r="H75" s="459">
        <v>0</v>
      </c>
      <c r="I75" s="459">
        <v>0</v>
      </c>
      <c r="J75" s="459">
        <v>0</v>
      </c>
      <c r="K75" s="459">
        <v>0</v>
      </c>
      <c r="L75" s="459">
        <v>0</v>
      </c>
      <c r="M75" s="459">
        <v>0</v>
      </c>
      <c r="N75" s="459">
        <v>0</v>
      </c>
      <c r="O75" s="459">
        <v>144513.6</v>
      </c>
      <c r="P75" s="459">
        <v>0</v>
      </c>
      <c r="Q75" s="459">
        <v>19761.14</v>
      </c>
      <c r="R75" s="459">
        <v>0</v>
      </c>
      <c r="S75" s="459">
        <v>100361.88</v>
      </c>
      <c r="T75" s="447">
        <f>SUM(H75:S75)</f>
        <v>264636.62</v>
      </c>
      <c r="U75" s="447">
        <f>+G75-T75</f>
        <v>4106.380000000005</v>
      </c>
      <c r="V75" s="468"/>
    </row>
    <row r="76" spans="1:23" s="460" customFormat="1" ht="21" customHeight="1">
      <c r="A76" s="469" t="s">
        <v>484</v>
      </c>
      <c r="B76" s="744" t="s">
        <v>214</v>
      </c>
      <c r="C76" s="745"/>
      <c r="D76" s="470"/>
      <c r="E76" s="458"/>
      <c r="F76" s="459"/>
      <c r="G76" s="459"/>
      <c r="H76" s="459">
        <v>0</v>
      </c>
      <c r="I76" s="459">
        <v>0</v>
      </c>
      <c r="J76" s="459">
        <v>0</v>
      </c>
      <c r="K76" s="459">
        <v>0</v>
      </c>
      <c r="L76" s="459">
        <v>0</v>
      </c>
      <c r="M76" s="459">
        <v>0</v>
      </c>
      <c r="N76" s="459">
        <v>0</v>
      </c>
      <c r="O76" s="459">
        <v>0</v>
      </c>
      <c r="P76" s="459">
        <v>0</v>
      </c>
      <c r="Q76" s="459">
        <v>0</v>
      </c>
      <c r="R76" s="459">
        <v>0</v>
      </c>
      <c r="S76" s="459">
        <v>0</v>
      </c>
      <c r="T76" s="447">
        <f>SUM(H76:S76)</f>
        <v>0</v>
      </c>
      <c r="U76" s="447">
        <f>+G76-T76</f>
        <v>0</v>
      </c>
      <c r="V76" s="468"/>
      <c r="W76" s="500"/>
    </row>
    <row r="77" spans="1:23" s="460" customFormat="1" ht="21" customHeight="1">
      <c r="A77" s="469" t="s">
        <v>485</v>
      </c>
      <c r="B77" s="744" t="s">
        <v>214</v>
      </c>
      <c r="C77" s="745"/>
      <c r="D77" s="458"/>
      <c r="E77" s="458"/>
      <c r="F77" s="459"/>
      <c r="G77" s="459"/>
      <c r="H77" s="459">
        <v>0</v>
      </c>
      <c r="I77" s="459">
        <v>0</v>
      </c>
      <c r="J77" s="459">
        <v>0</v>
      </c>
      <c r="K77" s="459">
        <v>0</v>
      </c>
      <c r="L77" s="459">
        <v>0</v>
      </c>
      <c r="M77" s="459">
        <v>0</v>
      </c>
      <c r="N77" s="459">
        <v>0</v>
      </c>
      <c r="O77" s="459">
        <v>0</v>
      </c>
      <c r="P77" s="459">
        <v>0</v>
      </c>
      <c r="Q77" s="459">
        <v>0</v>
      </c>
      <c r="R77" s="459">
        <v>0</v>
      </c>
      <c r="S77" s="459">
        <v>0</v>
      </c>
      <c r="T77" s="447">
        <f>SUM(H77:S77)</f>
        <v>0</v>
      </c>
      <c r="U77" s="447">
        <f>+G77-T77</f>
        <v>0</v>
      </c>
      <c r="W77" s="468"/>
    </row>
    <row r="78" spans="1:21" ht="21" customHeight="1" thickBot="1">
      <c r="A78" s="105"/>
      <c r="B78" s="1"/>
      <c r="C78" s="50"/>
      <c r="D78" s="50" t="s">
        <v>0</v>
      </c>
      <c r="E78" s="36"/>
      <c r="F78" s="52"/>
      <c r="G78" s="91">
        <f>SUM(G71:G77)</f>
        <v>338743</v>
      </c>
      <c r="H78" s="91">
        <f aca="true" t="shared" si="14" ref="H78:U78">SUM(H71:H77)</f>
        <v>0</v>
      </c>
      <c r="I78" s="91">
        <f t="shared" si="14"/>
        <v>0</v>
      </c>
      <c r="J78" s="91">
        <f t="shared" si="14"/>
        <v>0</v>
      </c>
      <c r="K78" s="91">
        <f t="shared" si="14"/>
        <v>0</v>
      </c>
      <c r="L78" s="91">
        <f t="shared" si="14"/>
        <v>0</v>
      </c>
      <c r="M78" s="91">
        <f t="shared" si="14"/>
        <v>46902</v>
      </c>
      <c r="N78" s="91">
        <f t="shared" si="14"/>
        <v>0</v>
      </c>
      <c r="O78" s="91">
        <f t="shared" si="14"/>
        <v>144513.6</v>
      </c>
      <c r="P78" s="91">
        <f t="shared" si="14"/>
        <v>0</v>
      </c>
      <c r="Q78" s="91">
        <f t="shared" si="14"/>
        <v>19761.14</v>
      </c>
      <c r="R78" s="91">
        <f t="shared" si="14"/>
        <v>0</v>
      </c>
      <c r="S78" s="91">
        <f t="shared" si="14"/>
        <v>118215.88</v>
      </c>
      <c r="T78" s="91">
        <f t="shared" si="14"/>
        <v>329392.62</v>
      </c>
      <c r="U78" s="91">
        <f t="shared" si="14"/>
        <v>9350.380000000005</v>
      </c>
    </row>
    <row r="79" spans="1:23" ht="21" customHeight="1" thickTop="1">
      <c r="A79" s="105" t="s">
        <v>271</v>
      </c>
      <c r="B79" s="279" t="s">
        <v>174</v>
      </c>
      <c r="C79" s="724"/>
      <c r="D79" s="725"/>
      <c r="E79" s="143"/>
      <c r="F79" s="209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80"/>
      <c r="U79" s="180"/>
      <c r="W79" s="278"/>
    </row>
    <row r="80" spans="1:21" ht="21" customHeight="1">
      <c r="A80" s="105" t="s">
        <v>272</v>
      </c>
      <c r="B80" s="279" t="s">
        <v>175</v>
      </c>
      <c r="C80" s="704">
        <f>D81+D82</f>
        <v>400000</v>
      </c>
      <c r="D80" s="705"/>
      <c r="E80" s="36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180"/>
      <c r="U80" s="180"/>
    </row>
    <row r="81" spans="1:21" s="460" customFormat="1" ht="21" customHeight="1">
      <c r="A81" s="466" t="s">
        <v>395</v>
      </c>
      <c r="B81" s="744" t="s">
        <v>214</v>
      </c>
      <c r="C81" s="745"/>
      <c r="D81" s="459">
        <v>152000</v>
      </c>
      <c r="E81" s="458">
        <f>10000+10000</f>
        <v>20000</v>
      </c>
      <c r="F81" s="459">
        <v>9160</v>
      </c>
      <c r="G81" s="459">
        <f>+D81+E81-F81</f>
        <v>162840</v>
      </c>
      <c r="H81" s="459">
        <v>0</v>
      </c>
      <c r="I81" s="459">
        <v>38000</v>
      </c>
      <c r="J81" s="459">
        <v>0</v>
      </c>
      <c r="K81" s="459">
        <v>38000</v>
      </c>
      <c r="L81" s="459">
        <v>0</v>
      </c>
      <c r="M81" s="459">
        <v>0</v>
      </c>
      <c r="N81" s="459">
        <v>0</v>
      </c>
      <c r="O81" s="459">
        <v>0</v>
      </c>
      <c r="P81" s="459">
        <v>43000</v>
      </c>
      <c r="Q81" s="459">
        <v>0</v>
      </c>
      <c r="R81" s="459">
        <v>43000</v>
      </c>
      <c r="S81" s="459">
        <v>0</v>
      </c>
      <c r="T81" s="447">
        <f>SUM(H81:S81)</f>
        <v>162000</v>
      </c>
      <c r="U81" s="447">
        <f>+G81-T81</f>
        <v>840</v>
      </c>
    </row>
    <row r="82" spans="1:21" s="460" customFormat="1" ht="21" customHeight="1">
      <c r="A82" s="466" t="s">
        <v>396</v>
      </c>
      <c r="B82" s="744" t="s">
        <v>214</v>
      </c>
      <c r="C82" s="745"/>
      <c r="D82" s="471">
        <v>248000</v>
      </c>
      <c r="E82" s="458">
        <v>0</v>
      </c>
      <c r="F82" s="459">
        <v>10000</v>
      </c>
      <c r="G82" s="459">
        <f>+D82+E82-F82</f>
        <v>238000</v>
      </c>
      <c r="H82" s="459">
        <v>0</v>
      </c>
      <c r="I82" s="459">
        <v>62000</v>
      </c>
      <c r="J82" s="459">
        <v>0</v>
      </c>
      <c r="K82" s="459">
        <v>62000</v>
      </c>
      <c r="L82" s="459">
        <v>0</v>
      </c>
      <c r="M82" s="459">
        <v>0</v>
      </c>
      <c r="N82" s="459">
        <v>0</v>
      </c>
      <c r="O82" s="459">
        <v>0</v>
      </c>
      <c r="P82" s="459">
        <v>56000</v>
      </c>
      <c r="Q82" s="459">
        <v>0</v>
      </c>
      <c r="R82" s="459">
        <v>56000</v>
      </c>
      <c r="S82" s="459">
        <v>0</v>
      </c>
      <c r="T82" s="447">
        <f>SUM(H82:S82)</f>
        <v>236000</v>
      </c>
      <c r="U82" s="447">
        <f>+G82-T82</f>
        <v>2000</v>
      </c>
    </row>
    <row r="83" spans="1:22" ht="21" customHeight="1" thickBot="1">
      <c r="A83" s="79"/>
      <c r="B83" s="111"/>
      <c r="C83" s="112"/>
      <c r="D83" s="80" t="s">
        <v>0</v>
      </c>
      <c r="E83" s="37"/>
      <c r="F83" s="37"/>
      <c r="G83" s="158">
        <f aca="true" t="shared" si="15" ref="G83:U83">SUM(G81:G82)</f>
        <v>400840</v>
      </c>
      <c r="H83" s="158">
        <f t="shared" si="15"/>
        <v>0</v>
      </c>
      <c r="I83" s="158">
        <f t="shared" si="15"/>
        <v>100000</v>
      </c>
      <c r="J83" s="158">
        <f t="shared" si="15"/>
        <v>0</v>
      </c>
      <c r="K83" s="158">
        <f t="shared" si="15"/>
        <v>100000</v>
      </c>
      <c r="L83" s="158">
        <f t="shared" si="15"/>
        <v>0</v>
      </c>
      <c r="M83" s="158">
        <f t="shared" si="15"/>
        <v>0</v>
      </c>
      <c r="N83" s="158">
        <f t="shared" si="15"/>
        <v>0</v>
      </c>
      <c r="O83" s="158">
        <f t="shared" si="15"/>
        <v>0</v>
      </c>
      <c r="P83" s="158">
        <f t="shared" si="15"/>
        <v>99000</v>
      </c>
      <c r="Q83" s="158">
        <f t="shared" si="15"/>
        <v>0</v>
      </c>
      <c r="R83" s="158">
        <f t="shared" si="15"/>
        <v>99000</v>
      </c>
      <c r="S83" s="158">
        <f t="shared" si="15"/>
        <v>0</v>
      </c>
      <c r="T83" s="158">
        <f t="shared" si="15"/>
        <v>398000</v>
      </c>
      <c r="U83" s="158">
        <f t="shared" si="15"/>
        <v>2840</v>
      </c>
      <c r="V83" s="278"/>
    </row>
    <row r="84" spans="1:21" ht="25.5" customHeight="1" thickTop="1">
      <c r="A84" s="100" t="s">
        <v>273</v>
      </c>
      <c r="B84" s="92"/>
      <c r="C84" s="93"/>
      <c r="D84" s="94"/>
      <c r="E84" s="95"/>
      <c r="F84" s="95"/>
      <c r="G84" s="96"/>
      <c r="H84" s="182"/>
      <c r="I84" s="172"/>
      <c r="J84" s="182"/>
      <c r="K84" s="172"/>
      <c r="L84" s="182"/>
      <c r="M84" s="172"/>
      <c r="N84" s="182"/>
      <c r="O84" s="172"/>
      <c r="P84" s="182"/>
      <c r="Q84" s="172"/>
      <c r="R84" s="182"/>
      <c r="S84" s="182"/>
      <c r="T84" s="122"/>
      <c r="U84" s="128"/>
    </row>
    <row r="85" spans="1:21" ht="23.25">
      <c r="A85" s="313" t="s">
        <v>274</v>
      </c>
      <c r="B85" s="8"/>
      <c r="C85" s="21"/>
      <c r="D85" s="28">
        <f>D86+D89+D92</f>
        <v>0</v>
      </c>
      <c r="E85" s="37"/>
      <c r="F85" s="37"/>
      <c r="G85" s="37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135"/>
      <c r="U85" s="135"/>
    </row>
    <row r="86" spans="1:21" ht="23.25">
      <c r="A86" s="314" t="s">
        <v>306</v>
      </c>
      <c r="B86" s="279" t="s">
        <v>189</v>
      </c>
      <c r="C86" s="81"/>
      <c r="D86" s="27">
        <f>D87+D88</f>
        <v>0</v>
      </c>
      <c r="E86" s="37"/>
      <c r="F86" s="37"/>
      <c r="G86" s="37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135"/>
      <c r="U86" s="50"/>
    </row>
    <row r="87" spans="1:21" ht="23.25">
      <c r="A87" s="317" t="s">
        <v>368</v>
      </c>
      <c r="B87" s="750" t="s">
        <v>214</v>
      </c>
      <c r="C87" s="751"/>
      <c r="D87" s="28">
        <v>0</v>
      </c>
      <c r="E87" s="37"/>
      <c r="F87" s="37">
        <v>0</v>
      </c>
      <c r="G87" s="52">
        <f>+D87+E87-F87</f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135">
        <f>SUM(H87:S87)</f>
        <v>0</v>
      </c>
      <c r="U87" s="135">
        <f>+G87-T87</f>
        <v>0</v>
      </c>
    </row>
    <row r="88" spans="1:21" ht="23.25">
      <c r="A88" s="317" t="s">
        <v>369</v>
      </c>
      <c r="B88" s="750" t="s">
        <v>214</v>
      </c>
      <c r="C88" s="751"/>
      <c r="D88" s="28">
        <v>0</v>
      </c>
      <c r="E88" s="37"/>
      <c r="F88" s="37">
        <v>0</v>
      </c>
      <c r="G88" s="52">
        <f>+D88+E88-F88</f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135">
        <f>SUM(H88:S88)</f>
        <v>0</v>
      </c>
      <c r="U88" s="135">
        <f>+G88-T88</f>
        <v>0</v>
      </c>
    </row>
    <row r="89" spans="1:21" ht="23.25">
      <c r="A89" s="314" t="s">
        <v>415</v>
      </c>
      <c r="B89" s="279"/>
      <c r="C89" s="81"/>
      <c r="D89" s="27"/>
      <c r="E89" s="37">
        <v>0</v>
      </c>
      <c r="F89" s="37"/>
      <c r="G89" s="52">
        <f>+D89+E89-F89</f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135">
        <f>SUM(H89:S89)</f>
        <v>0</v>
      </c>
      <c r="U89" s="135">
        <f>+G89-T89</f>
        <v>0</v>
      </c>
    </row>
    <row r="90" spans="1:21" ht="23.25">
      <c r="A90" s="317" t="s">
        <v>370</v>
      </c>
      <c r="B90" s="750" t="s">
        <v>214</v>
      </c>
      <c r="C90" s="751"/>
      <c r="D90" s="28">
        <v>0</v>
      </c>
      <c r="E90" s="37"/>
      <c r="F90" s="37"/>
      <c r="G90" s="52">
        <f>+D90+E90-F90</f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135">
        <f>SUM(H90:S90)</f>
        <v>0</v>
      </c>
      <c r="U90" s="135">
        <f>+G90-T90</f>
        <v>0</v>
      </c>
    </row>
    <row r="91" spans="1:21" ht="24" thickBot="1">
      <c r="A91" s="317"/>
      <c r="B91" s="322"/>
      <c r="C91" s="323"/>
      <c r="D91" s="80" t="s">
        <v>0</v>
      </c>
      <c r="E91" s="37"/>
      <c r="F91" s="37"/>
      <c r="G91" s="158">
        <f>G87+G88+G90+G89</f>
        <v>0</v>
      </c>
      <c r="H91" s="158">
        <f>H87+H88+H90</f>
        <v>0</v>
      </c>
      <c r="I91" s="158">
        <f aca="true" t="shared" si="16" ref="I91:U91">I87+I88+I90</f>
        <v>0</v>
      </c>
      <c r="J91" s="158">
        <f t="shared" si="16"/>
        <v>0</v>
      </c>
      <c r="K91" s="158">
        <f t="shared" si="16"/>
        <v>0</v>
      </c>
      <c r="L91" s="158">
        <f t="shared" si="16"/>
        <v>0</v>
      </c>
      <c r="M91" s="158">
        <f t="shared" si="16"/>
        <v>0</v>
      </c>
      <c r="N91" s="158">
        <f t="shared" si="16"/>
        <v>0</v>
      </c>
      <c r="O91" s="158">
        <f t="shared" si="16"/>
        <v>0</v>
      </c>
      <c r="P91" s="158">
        <f t="shared" si="16"/>
        <v>0</v>
      </c>
      <c r="Q91" s="158">
        <f t="shared" si="16"/>
        <v>0</v>
      </c>
      <c r="R91" s="158">
        <f t="shared" si="16"/>
        <v>0</v>
      </c>
      <c r="S91" s="158">
        <f t="shared" si="16"/>
        <v>0</v>
      </c>
      <c r="T91" s="158">
        <f t="shared" si="16"/>
        <v>0</v>
      </c>
      <c r="U91" s="158">
        <f t="shared" si="16"/>
        <v>0</v>
      </c>
    </row>
    <row r="92" spans="1:21" ht="18.75" customHeight="1" thickTop="1">
      <c r="A92" s="314" t="s">
        <v>294</v>
      </c>
      <c r="B92" s="279" t="s">
        <v>189</v>
      </c>
      <c r="C92" s="81"/>
      <c r="D92" s="27">
        <f>D94</f>
        <v>0</v>
      </c>
      <c r="E92" s="37"/>
      <c r="F92" s="37"/>
      <c r="G92" s="37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135"/>
      <c r="U92" s="50"/>
    </row>
    <row r="93" spans="1:21" ht="23.25">
      <c r="A93" s="317" t="s">
        <v>371</v>
      </c>
      <c r="B93" s="750" t="s">
        <v>214</v>
      </c>
      <c r="C93" s="751"/>
      <c r="D93" s="28">
        <v>0</v>
      </c>
      <c r="E93" s="37"/>
      <c r="F93" s="37">
        <v>0</v>
      </c>
      <c r="G93" s="52">
        <f>+D93+E93-F93</f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135">
        <f>SUM(H93:S93)</f>
        <v>0</v>
      </c>
      <c r="U93" s="135">
        <f>+G93-T93</f>
        <v>0</v>
      </c>
    </row>
    <row r="94" spans="1:21" ht="23.25">
      <c r="A94" s="317" t="s">
        <v>413</v>
      </c>
      <c r="B94" s="750" t="s">
        <v>214</v>
      </c>
      <c r="C94" s="751"/>
      <c r="D94" s="28"/>
      <c r="E94" s="37">
        <v>0</v>
      </c>
      <c r="F94" s="37"/>
      <c r="G94" s="52">
        <f>+D94+E94-F94</f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135">
        <f>SUM(H94:S94)</f>
        <v>0</v>
      </c>
      <c r="U94" s="135">
        <f>+G94-T94</f>
        <v>0</v>
      </c>
    </row>
    <row r="95" spans="1:21" ht="24" thickBot="1">
      <c r="A95" s="105"/>
      <c r="B95" s="144"/>
      <c r="C95" s="144"/>
      <c r="D95" s="36" t="s">
        <v>0</v>
      </c>
      <c r="E95" s="144"/>
      <c r="F95" s="144"/>
      <c r="G95" s="164">
        <f>SUM(G93:G94)</f>
        <v>0</v>
      </c>
      <c r="H95" s="164">
        <f aca="true" t="shared" si="17" ref="H95:U95">SUM(H93:H94)</f>
        <v>0</v>
      </c>
      <c r="I95" s="164">
        <f t="shared" si="17"/>
        <v>0</v>
      </c>
      <c r="J95" s="164">
        <f t="shared" si="17"/>
        <v>0</v>
      </c>
      <c r="K95" s="164">
        <f t="shared" si="17"/>
        <v>0</v>
      </c>
      <c r="L95" s="164">
        <f t="shared" si="17"/>
        <v>0</v>
      </c>
      <c r="M95" s="164">
        <f t="shared" si="17"/>
        <v>0</v>
      </c>
      <c r="N95" s="164">
        <f t="shared" si="17"/>
        <v>0</v>
      </c>
      <c r="O95" s="164">
        <f t="shared" si="17"/>
        <v>0</v>
      </c>
      <c r="P95" s="164">
        <f t="shared" si="17"/>
        <v>0</v>
      </c>
      <c r="Q95" s="164">
        <f t="shared" si="17"/>
        <v>0</v>
      </c>
      <c r="R95" s="164">
        <f t="shared" si="17"/>
        <v>0</v>
      </c>
      <c r="S95" s="164">
        <f t="shared" si="17"/>
        <v>0</v>
      </c>
      <c r="T95" s="164">
        <f t="shared" si="17"/>
        <v>0</v>
      </c>
      <c r="U95" s="164">
        <f t="shared" si="17"/>
        <v>0</v>
      </c>
    </row>
    <row r="96" spans="1:21" ht="24.75" thickBot="1" thickTop="1">
      <c r="A96" s="105"/>
      <c r="B96" s="144"/>
      <c r="C96" s="144"/>
      <c r="D96" s="183" t="s">
        <v>7</v>
      </c>
      <c r="E96" s="144"/>
      <c r="F96" s="144"/>
      <c r="G96" s="164">
        <f aca="true" t="shared" si="18" ref="G96:U96">G12+G17+G23+G32+G61+G64+G78+G83+G91+G95</f>
        <v>2269655</v>
      </c>
      <c r="H96" s="164">
        <f t="shared" si="18"/>
        <v>43140</v>
      </c>
      <c r="I96" s="164">
        <f t="shared" si="18"/>
        <v>289249.33999999997</v>
      </c>
      <c r="J96" s="164">
        <f t="shared" si="18"/>
        <v>90125</v>
      </c>
      <c r="K96" s="164">
        <f t="shared" si="18"/>
        <v>275680</v>
      </c>
      <c r="L96" s="164">
        <f t="shared" si="18"/>
        <v>87075</v>
      </c>
      <c r="M96" s="164">
        <f t="shared" si="18"/>
        <v>168927</v>
      </c>
      <c r="N96" s="164">
        <f t="shared" si="18"/>
        <v>118193</v>
      </c>
      <c r="O96" s="164">
        <f t="shared" si="18"/>
        <v>205148.6</v>
      </c>
      <c r="P96" s="164">
        <f t="shared" si="18"/>
        <v>176802</v>
      </c>
      <c r="Q96" s="164">
        <f t="shared" si="18"/>
        <v>55496.14</v>
      </c>
      <c r="R96" s="164">
        <f t="shared" si="18"/>
        <v>152175</v>
      </c>
      <c r="S96" s="164">
        <f t="shared" si="18"/>
        <v>186864.88</v>
      </c>
      <c r="T96" s="164">
        <f t="shared" si="18"/>
        <v>1848875.96</v>
      </c>
      <c r="U96" s="164">
        <f t="shared" si="18"/>
        <v>420779.04000000004</v>
      </c>
    </row>
    <row r="97" spans="1:21" ht="24" thickTop="1">
      <c r="A97" s="311"/>
      <c r="B97" s="225"/>
      <c r="C97" s="225"/>
      <c r="D97" s="225"/>
      <c r="E97" s="225"/>
      <c r="F97" s="225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23.25">
      <c r="A98" s="245"/>
      <c r="B98" s="68"/>
      <c r="C98" s="68"/>
      <c r="D98" s="68"/>
      <c r="E98" s="147">
        <v>20000</v>
      </c>
      <c r="F98" s="147">
        <v>260000</v>
      </c>
      <c r="G98" s="300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23.25">
      <c r="A99" s="245"/>
      <c r="B99" s="68"/>
      <c r="C99" s="68"/>
      <c r="D99" s="147"/>
      <c r="E99" s="68"/>
      <c r="F99" s="741">
        <f>G10+G15+G16+G45+G46+G47+G50+G55+G75+G76+G77+G81+G82+G44</f>
        <v>1415113</v>
      </c>
      <c r="G99" s="757"/>
      <c r="H99" s="497">
        <f>H10+H15+H16+H45+H46+H47+H50+H55+H56+H75+H76+H77+H81+H82+H44</f>
        <v>22000</v>
      </c>
      <c r="I99" s="497">
        <f aca="true" t="shared" si="19" ref="I99:T99">I10+I15+I16+I45+I46+I47+I50+I55+I56+I75+I76+I77+I81+I82+I44</f>
        <v>244570</v>
      </c>
      <c r="J99" s="497">
        <f t="shared" si="19"/>
        <v>35285</v>
      </c>
      <c r="K99" s="497">
        <f t="shared" si="19"/>
        <v>173685</v>
      </c>
      <c r="L99" s="497">
        <f t="shared" si="19"/>
        <v>51885</v>
      </c>
      <c r="M99" s="497">
        <f t="shared" si="19"/>
        <v>68685</v>
      </c>
      <c r="N99" s="497">
        <f t="shared" si="19"/>
        <v>84025</v>
      </c>
      <c r="O99" s="497">
        <f t="shared" si="19"/>
        <v>180248.6</v>
      </c>
      <c r="P99" s="497">
        <f t="shared" si="19"/>
        <v>167095</v>
      </c>
      <c r="Q99" s="497">
        <f t="shared" si="19"/>
        <v>55496.14</v>
      </c>
      <c r="R99" s="497">
        <f t="shared" si="19"/>
        <v>134775</v>
      </c>
      <c r="S99" s="497">
        <f t="shared" si="19"/>
        <v>146090.88</v>
      </c>
      <c r="T99" s="497">
        <f t="shared" si="19"/>
        <v>1363840.62</v>
      </c>
      <c r="U99" s="498"/>
    </row>
    <row r="100" spans="1:21" ht="23.25">
      <c r="A100" s="205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300"/>
      <c r="U100" s="68"/>
    </row>
    <row r="101" spans="1:21" ht="23.25">
      <c r="A101" s="27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23.25">
      <c r="A102" s="245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38.25">
      <c r="A103" s="327"/>
      <c r="B103" s="32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26.25">
      <c r="A104" s="205"/>
      <c r="B104" s="68"/>
      <c r="C104" s="68"/>
      <c r="D104" s="68"/>
      <c r="E104" s="326"/>
      <c r="F104" s="68"/>
      <c r="G104" s="68"/>
      <c r="H104" s="68"/>
      <c r="I104" s="300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23.25">
      <c r="A105" s="205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23.25">
      <c r="A106" s="205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147"/>
      <c r="N106" s="68"/>
      <c r="O106" s="68"/>
      <c r="P106" s="68"/>
      <c r="Q106" s="68"/>
      <c r="R106" s="68"/>
      <c r="S106" s="68"/>
      <c r="T106" s="147"/>
      <c r="U106" s="186"/>
    </row>
    <row r="107" spans="1:21" ht="23.2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</row>
    <row r="108" spans="1:21" ht="23.2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</row>
    <row r="109" spans="1:21" ht="23.2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</row>
    <row r="110" spans="1:21" ht="23.2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</row>
    <row r="111" spans="1:21" ht="23.2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</row>
    <row r="112" spans="1:21" ht="23.25">
      <c r="A112" s="290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</row>
    <row r="113" spans="1:21" ht="39.75">
      <c r="A113" s="253"/>
      <c r="B113" s="175"/>
      <c r="C113" s="743"/>
      <c r="D113" s="742"/>
      <c r="E113" s="742"/>
      <c r="F113" s="743">
        <f>H96+I96+J96+K96-H17-I17-J17-K17</f>
        <v>645054.34</v>
      </c>
      <c r="G113" s="742"/>
      <c r="H113" s="742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</row>
    <row r="114" spans="1:21" ht="39.75">
      <c r="A114" s="253"/>
      <c r="B114" s="175"/>
      <c r="C114" s="291"/>
      <c r="D114" s="292"/>
      <c r="E114" s="292"/>
      <c r="F114" s="291"/>
      <c r="G114" s="292"/>
      <c r="H114" s="292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</row>
    <row r="115" spans="1:21" ht="23.25">
      <c r="A115" s="723" t="s">
        <v>207</v>
      </c>
      <c r="B115" s="723"/>
      <c r="C115" s="723"/>
      <c r="D115" s="723"/>
      <c r="E115" s="723"/>
      <c r="F115" s="723"/>
      <c r="G115" s="723"/>
      <c r="H115" s="723"/>
      <c r="I115" s="723"/>
      <c r="J115" s="723"/>
      <c r="K115" s="723"/>
      <c r="L115" s="723"/>
      <c r="M115" s="723"/>
      <c r="N115" s="723"/>
      <c r="O115" s="723"/>
      <c r="P115" s="723"/>
      <c r="Q115" s="723"/>
      <c r="R115" s="723"/>
      <c r="S115" s="723"/>
      <c r="T115" s="723"/>
      <c r="U115" s="723"/>
    </row>
    <row r="116" spans="1:21" ht="23.25">
      <c r="A116" s="739" t="s">
        <v>266</v>
      </c>
      <c r="B116" s="739"/>
      <c r="C116" s="739"/>
      <c r="D116" s="739"/>
      <c r="E116" s="739"/>
      <c r="F116" s="739"/>
      <c r="G116" s="739"/>
      <c r="H116" s="739"/>
      <c r="I116" s="739"/>
      <c r="J116" s="739"/>
      <c r="K116" s="739"/>
      <c r="L116" s="739"/>
      <c r="M116" s="739"/>
      <c r="N116" s="739"/>
      <c r="O116" s="739"/>
      <c r="P116" s="739"/>
      <c r="Q116" s="739"/>
      <c r="R116" s="739"/>
      <c r="S116" s="739"/>
      <c r="T116" s="739"/>
      <c r="U116" s="739"/>
    </row>
    <row r="117" spans="1:21" ht="23.25">
      <c r="A117" s="659" t="s">
        <v>4</v>
      </c>
      <c r="B117" s="119"/>
      <c r="C117" s="715" t="s">
        <v>51</v>
      </c>
      <c r="D117" s="726"/>
      <c r="E117" s="120" t="s">
        <v>9</v>
      </c>
      <c r="F117" s="120" t="s">
        <v>9</v>
      </c>
      <c r="G117" s="121" t="s">
        <v>25</v>
      </c>
      <c r="H117" s="120" t="s">
        <v>26</v>
      </c>
      <c r="I117" s="121" t="s">
        <v>27</v>
      </c>
      <c r="J117" s="120" t="s">
        <v>28</v>
      </c>
      <c r="K117" s="121" t="s">
        <v>29</v>
      </c>
      <c r="L117" s="120" t="s">
        <v>30</v>
      </c>
      <c r="M117" s="121" t="s">
        <v>31</v>
      </c>
      <c r="N117" s="120" t="s">
        <v>32</v>
      </c>
      <c r="O117" s="121" t="s">
        <v>33</v>
      </c>
      <c r="P117" s="120" t="s">
        <v>34</v>
      </c>
      <c r="Q117" s="121" t="s">
        <v>35</v>
      </c>
      <c r="R117" s="120" t="s">
        <v>36</v>
      </c>
      <c r="S117" s="120" t="s">
        <v>37</v>
      </c>
      <c r="T117" s="120" t="s">
        <v>25</v>
      </c>
      <c r="U117" s="125" t="s">
        <v>6</v>
      </c>
    </row>
    <row r="118" spans="1:21" ht="42.75">
      <c r="A118" s="660"/>
      <c r="B118" s="92" t="s">
        <v>8</v>
      </c>
      <c r="C118" s="101" t="s">
        <v>9</v>
      </c>
      <c r="D118" s="94"/>
      <c r="E118" s="95" t="s">
        <v>10</v>
      </c>
      <c r="F118" s="95" t="s">
        <v>11</v>
      </c>
      <c r="G118" s="96"/>
      <c r="H118" s="182"/>
      <c r="I118" s="172"/>
      <c r="J118" s="182"/>
      <c r="K118" s="172"/>
      <c r="L118" s="182"/>
      <c r="M118" s="172"/>
      <c r="N118" s="182"/>
      <c r="O118" s="172"/>
      <c r="P118" s="182"/>
      <c r="Q118" s="172"/>
      <c r="R118" s="182"/>
      <c r="S118" s="182"/>
      <c r="T118" s="95"/>
      <c r="U118" s="99" t="s">
        <v>5</v>
      </c>
    </row>
    <row r="119" spans="1:21" ht="23.25">
      <c r="A119" s="105" t="s">
        <v>23</v>
      </c>
      <c r="B119" s="117">
        <v>250</v>
      </c>
      <c r="C119" s="1"/>
      <c r="D119" s="52"/>
      <c r="E119" s="89"/>
      <c r="F119" s="191"/>
      <c r="G119" s="176"/>
      <c r="H119" s="171"/>
      <c r="I119" s="171"/>
      <c r="J119" s="171"/>
      <c r="K119" s="171"/>
      <c r="L119" s="171"/>
      <c r="M119" s="171"/>
      <c r="N119" s="171"/>
      <c r="O119" s="171"/>
      <c r="P119" s="211"/>
      <c r="Q119" s="184"/>
      <c r="R119" s="184"/>
      <c r="S119" s="184"/>
      <c r="T119" s="184"/>
      <c r="U119" s="184"/>
    </row>
    <row r="120" spans="1:21" ht="23.25">
      <c r="A120" s="105" t="s">
        <v>60</v>
      </c>
      <c r="B120" s="117">
        <v>251</v>
      </c>
      <c r="C120" s="163"/>
      <c r="D120" s="163"/>
      <c r="E120" s="52"/>
      <c r="F120" s="144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135"/>
      <c r="U120" s="135"/>
    </row>
    <row r="121" spans="1:21" ht="23.25">
      <c r="A121" s="191" t="s">
        <v>67</v>
      </c>
      <c r="C121" s="185"/>
      <c r="D121" s="89">
        <v>0</v>
      </c>
      <c r="E121" s="52"/>
      <c r="F121" s="144"/>
      <c r="G121" s="52">
        <f>+D121+E121-F121</f>
        <v>0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135">
        <f>SUM(H121:S121)</f>
        <v>0</v>
      </c>
      <c r="U121" s="135">
        <f>+G121-T121</f>
        <v>0</v>
      </c>
    </row>
    <row r="122" spans="1:21" ht="23.25">
      <c r="A122" s="191" t="s">
        <v>208</v>
      </c>
      <c r="B122" s="117"/>
      <c r="C122" s="163"/>
      <c r="D122" s="89">
        <v>0</v>
      </c>
      <c r="E122" s="163"/>
      <c r="F122" s="163"/>
      <c r="G122" s="52">
        <f>+D122+E122-F122</f>
        <v>0</v>
      </c>
      <c r="H122" s="52">
        <v>0</v>
      </c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135">
        <f>SUM(H122:S122)</f>
        <v>0</v>
      </c>
      <c r="U122" s="135">
        <f>+G122-T122</f>
        <v>0</v>
      </c>
    </row>
    <row r="123" spans="1:21" ht="23.25">
      <c r="A123" s="191"/>
      <c r="C123" s="185"/>
      <c r="D123" s="89"/>
      <c r="E123" s="185"/>
      <c r="F123" s="185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135"/>
      <c r="U123" s="135"/>
    </row>
    <row r="124" spans="1:21" ht="23.25">
      <c r="A124" s="191"/>
      <c r="C124" s="185"/>
      <c r="D124" s="230"/>
      <c r="E124" s="185"/>
      <c r="F124" s="185"/>
      <c r="G124" s="177"/>
      <c r="H124" s="89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</row>
    <row r="125" spans="1:21" ht="23.25">
      <c r="A125" s="105"/>
      <c r="B125" s="210"/>
      <c r="C125" s="1"/>
      <c r="D125" s="36"/>
      <c r="E125" s="52"/>
      <c r="F125" s="144"/>
      <c r="G125" s="165"/>
      <c r="H125" s="52"/>
      <c r="I125" s="144"/>
      <c r="J125" s="144"/>
      <c r="K125" s="144"/>
      <c r="L125" s="144"/>
      <c r="M125" s="144"/>
      <c r="N125" s="144"/>
      <c r="O125" s="144"/>
      <c r="P125" s="22"/>
      <c r="Q125" s="52"/>
      <c r="R125" s="52"/>
      <c r="S125" s="52"/>
      <c r="T125" s="52"/>
      <c r="U125" s="52"/>
    </row>
    <row r="126" spans="1:21" ht="23.25">
      <c r="A126" s="160"/>
      <c r="B126" s="117"/>
      <c r="C126" s="1"/>
      <c r="D126" s="52"/>
      <c r="E126" s="52"/>
      <c r="F126" s="144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135"/>
      <c r="U126" s="135"/>
    </row>
    <row r="127" spans="1:21" ht="23.25">
      <c r="A127" s="105"/>
      <c r="B127" s="117"/>
      <c r="C127" s="1"/>
      <c r="D127" s="52"/>
      <c r="E127" s="52"/>
      <c r="F127" s="144"/>
      <c r="G127" s="177"/>
      <c r="H127" s="52"/>
      <c r="I127" s="144"/>
      <c r="J127" s="144"/>
      <c r="K127" s="144"/>
      <c r="L127" s="144"/>
      <c r="M127" s="144"/>
      <c r="N127" s="144"/>
      <c r="O127" s="144"/>
      <c r="P127" s="22"/>
      <c r="Q127" s="52"/>
      <c r="R127" s="52"/>
      <c r="S127" s="52"/>
      <c r="T127" s="52"/>
      <c r="U127" s="52"/>
    </row>
    <row r="128" spans="1:21" ht="23.25">
      <c r="A128" s="160"/>
      <c r="B128" s="163"/>
      <c r="C128" s="163"/>
      <c r="D128" s="36"/>
      <c r="E128" s="163"/>
      <c r="F128" s="163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135"/>
      <c r="U128" s="135"/>
    </row>
    <row r="129" spans="1:21" ht="23.25">
      <c r="A129" s="160"/>
      <c r="B129" s="144"/>
      <c r="C129" s="144"/>
      <c r="D129" s="52"/>
      <c r="E129" s="144"/>
      <c r="F129" s="144"/>
      <c r="G129" s="144"/>
      <c r="H129" s="148"/>
      <c r="I129" s="148"/>
      <c r="J129" s="148"/>
      <c r="K129" s="148"/>
      <c r="L129" s="148"/>
      <c r="M129" s="148"/>
      <c r="N129" s="148"/>
      <c r="O129" s="148"/>
      <c r="P129" s="148"/>
      <c r="Q129" s="90"/>
      <c r="R129" s="148"/>
      <c r="S129" s="148"/>
      <c r="T129" s="168"/>
      <c r="U129" s="168"/>
    </row>
    <row r="130" spans="1:21" ht="23.25">
      <c r="A130" s="105"/>
      <c r="B130" s="144"/>
      <c r="C130" s="144"/>
      <c r="D130" s="144"/>
      <c r="E130" s="144"/>
      <c r="F130" s="144"/>
      <c r="G130" s="144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</row>
    <row r="131" spans="1:21" ht="23.25">
      <c r="A131" s="105"/>
      <c r="B131" s="144"/>
      <c r="C131" s="144"/>
      <c r="D131" s="144"/>
      <c r="E131" s="144"/>
      <c r="F131" s="144"/>
      <c r="G131" s="144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</row>
    <row r="132" spans="1:21" ht="23.25">
      <c r="A132" s="105"/>
      <c r="B132" s="144"/>
      <c r="C132" s="144"/>
      <c r="D132" s="144"/>
      <c r="E132" s="144"/>
      <c r="F132" s="144"/>
      <c r="G132" s="144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</row>
    <row r="133" spans="1:21" ht="23.25">
      <c r="A133" s="105"/>
      <c r="B133" s="144"/>
      <c r="C133" s="144"/>
      <c r="D133" s="144"/>
      <c r="E133" s="144"/>
      <c r="F133" s="144"/>
      <c r="G133" s="144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</row>
    <row r="134" spans="1:21" ht="23.25">
      <c r="A134" s="105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</row>
    <row r="135" spans="1:21" ht="23.25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23.25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23.2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23.25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23.25">
      <c r="A139" s="163"/>
      <c r="B139" s="163"/>
      <c r="C139" s="163"/>
      <c r="D139" s="36"/>
      <c r="E139" s="163"/>
      <c r="F139" s="163"/>
      <c r="G139" s="36" t="s">
        <v>0</v>
      </c>
      <c r="H139" s="246">
        <f>SUM(H121:H138)</f>
        <v>0</v>
      </c>
      <c r="I139" s="246">
        <f aca="true" t="shared" si="20" ref="I139:U139">SUM(I121:I138)</f>
        <v>0</v>
      </c>
      <c r="J139" s="246">
        <f t="shared" si="20"/>
        <v>0</v>
      </c>
      <c r="K139" s="246">
        <f t="shared" si="20"/>
        <v>0</v>
      </c>
      <c r="L139" s="246">
        <f t="shared" si="20"/>
        <v>0</v>
      </c>
      <c r="M139" s="246">
        <f t="shared" si="20"/>
        <v>0</v>
      </c>
      <c r="N139" s="246">
        <f t="shared" si="20"/>
        <v>0</v>
      </c>
      <c r="O139" s="246">
        <f t="shared" si="20"/>
        <v>0</v>
      </c>
      <c r="P139" s="246">
        <f t="shared" si="20"/>
        <v>0</v>
      </c>
      <c r="Q139" s="246">
        <f t="shared" si="20"/>
        <v>0</v>
      </c>
      <c r="R139" s="246">
        <f t="shared" si="20"/>
        <v>0</v>
      </c>
      <c r="S139" s="246">
        <f t="shared" si="20"/>
        <v>0</v>
      </c>
      <c r="T139" s="246">
        <f t="shared" si="20"/>
        <v>0</v>
      </c>
      <c r="U139" s="246">
        <f t="shared" si="20"/>
        <v>0</v>
      </c>
    </row>
    <row r="140" spans="1:21" ht="23.25">
      <c r="A140" s="163"/>
      <c r="B140" s="163"/>
      <c r="C140" s="163"/>
      <c r="D140" s="144"/>
      <c r="E140" s="163"/>
      <c r="F140" s="163"/>
      <c r="G140" s="183" t="s">
        <v>7</v>
      </c>
      <c r="H140" s="246">
        <f>H139</f>
        <v>0</v>
      </c>
      <c r="I140" s="246">
        <f aca="true" t="shared" si="21" ref="I140:U140">I139</f>
        <v>0</v>
      </c>
      <c r="J140" s="246">
        <f t="shared" si="21"/>
        <v>0</v>
      </c>
      <c r="K140" s="246">
        <f t="shared" si="21"/>
        <v>0</v>
      </c>
      <c r="L140" s="246">
        <f t="shared" si="21"/>
        <v>0</v>
      </c>
      <c r="M140" s="246">
        <f t="shared" si="21"/>
        <v>0</v>
      </c>
      <c r="N140" s="246">
        <f t="shared" si="21"/>
        <v>0</v>
      </c>
      <c r="O140" s="246">
        <f t="shared" si="21"/>
        <v>0</v>
      </c>
      <c r="P140" s="246">
        <f t="shared" si="21"/>
        <v>0</v>
      </c>
      <c r="Q140" s="246">
        <f t="shared" si="21"/>
        <v>0</v>
      </c>
      <c r="R140" s="246">
        <f t="shared" si="21"/>
        <v>0</v>
      </c>
      <c r="S140" s="246">
        <f t="shared" si="21"/>
        <v>0</v>
      </c>
      <c r="T140" s="246">
        <f t="shared" si="21"/>
        <v>0</v>
      </c>
      <c r="U140" s="246">
        <f t="shared" si="21"/>
        <v>0</v>
      </c>
    </row>
    <row r="141" spans="1:21" ht="39.75">
      <c r="A141" s="253"/>
      <c r="B141" s="175"/>
      <c r="C141" s="291"/>
      <c r="D141" s="292"/>
      <c r="E141" s="292"/>
      <c r="F141" s="291"/>
      <c r="G141" s="292"/>
      <c r="H141" s="292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</row>
    <row r="142" spans="1:21" ht="35.25" customHeight="1">
      <c r="A142" s="720"/>
      <c r="B142" s="720"/>
      <c r="C142" s="720"/>
      <c r="D142" s="720"/>
      <c r="E142" s="720"/>
      <c r="F142" s="720"/>
      <c r="G142" s="720"/>
      <c r="H142" s="720"/>
      <c r="I142" s="720"/>
      <c r="J142" s="720"/>
      <c r="K142" s="720"/>
      <c r="L142" s="720"/>
      <c r="M142" s="720"/>
      <c r="N142" s="720"/>
      <c r="O142" s="720"/>
      <c r="P142" s="720"/>
      <c r="Q142" s="720"/>
      <c r="R142" s="720"/>
      <c r="S142" s="720"/>
      <c r="T142" s="720"/>
      <c r="U142" s="720"/>
    </row>
    <row r="143" spans="1:21" ht="23.25">
      <c r="A143" s="723"/>
      <c r="B143" s="723"/>
      <c r="C143" s="723"/>
      <c r="D143" s="723"/>
      <c r="E143" s="723"/>
      <c r="F143" s="723"/>
      <c r="G143" s="723"/>
      <c r="H143" s="723"/>
      <c r="I143" s="723"/>
      <c r="J143" s="723"/>
      <c r="K143" s="723"/>
      <c r="L143" s="723"/>
      <c r="M143" s="723"/>
      <c r="N143" s="723"/>
      <c r="O143" s="723"/>
      <c r="P143" s="723"/>
      <c r="Q143" s="723"/>
      <c r="R143" s="723"/>
      <c r="S143" s="723"/>
      <c r="T143" s="723"/>
      <c r="U143" s="723"/>
    </row>
    <row r="144" spans="1:21" ht="23.25">
      <c r="A144" s="739"/>
      <c r="B144" s="739"/>
      <c r="C144" s="739"/>
      <c r="D144" s="739"/>
      <c r="E144" s="739"/>
      <c r="F144" s="739"/>
      <c r="G144" s="739"/>
      <c r="H144" s="739"/>
      <c r="I144" s="739"/>
      <c r="J144" s="739"/>
      <c r="K144" s="739"/>
      <c r="L144" s="739"/>
      <c r="M144" s="739"/>
      <c r="N144" s="739"/>
      <c r="O144" s="739"/>
      <c r="P144" s="739"/>
      <c r="Q144" s="739"/>
      <c r="R144" s="739"/>
      <c r="S144" s="739"/>
      <c r="T144" s="739"/>
      <c r="U144" s="739"/>
    </row>
    <row r="145" spans="1:21" ht="23.25">
      <c r="A145" s="740"/>
      <c r="B145" s="296"/>
      <c r="C145" s="723"/>
      <c r="D145" s="723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</row>
    <row r="146" spans="1:21" ht="23.25">
      <c r="A146" s="740"/>
      <c r="B146" s="296"/>
      <c r="C146" s="296"/>
      <c r="D146" s="254"/>
      <c r="E146" s="297"/>
      <c r="F146" s="297"/>
      <c r="G146" s="29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97"/>
      <c r="U146" s="297"/>
    </row>
    <row r="147" spans="1:21" ht="23.25">
      <c r="A147" s="205"/>
      <c r="B147" s="186"/>
      <c r="C147" s="141"/>
      <c r="D147" s="118"/>
      <c r="E147" s="147"/>
      <c r="F147" s="68"/>
      <c r="G147" s="166"/>
      <c r="H147" s="68"/>
      <c r="I147" s="68"/>
      <c r="J147" s="68"/>
      <c r="K147" s="68"/>
      <c r="L147" s="68"/>
      <c r="M147" s="68"/>
      <c r="N147" s="68"/>
      <c r="O147" s="68"/>
      <c r="P147" s="169"/>
      <c r="Q147" s="147"/>
      <c r="R147" s="147"/>
      <c r="S147" s="147"/>
      <c r="T147" s="147"/>
      <c r="U147" s="147"/>
    </row>
    <row r="148" spans="1:21" ht="23.25">
      <c r="A148" s="298"/>
      <c r="B148" s="141"/>
      <c r="C148" s="141"/>
      <c r="D148" s="147"/>
      <c r="E148" s="147"/>
      <c r="F148" s="68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37"/>
      <c r="U148" s="137"/>
    </row>
    <row r="149" spans="1:21" ht="23.25">
      <c r="A149" s="298"/>
      <c r="B149" s="141"/>
      <c r="C149" s="141"/>
      <c r="D149" s="147"/>
      <c r="E149" s="147"/>
      <c r="F149" s="68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37"/>
      <c r="U149" s="137"/>
    </row>
    <row r="150" spans="1:21" ht="23.25">
      <c r="A150" s="205"/>
      <c r="B150" s="186"/>
      <c r="C150" s="141"/>
      <c r="D150" s="118"/>
      <c r="E150" s="147"/>
      <c r="F150" s="68"/>
      <c r="G150" s="166"/>
      <c r="H150" s="147"/>
      <c r="I150" s="68"/>
      <c r="J150" s="68"/>
      <c r="K150" s="68"/>
      <c r="L150" s="68"/>
      <c r="M150" s="68"/>
      <c r="N150" s="68"/>
      <c r="O150" s="68"/>
      <c r="P150" s="169"/>
      <c r="Q150" s="147"/>
      <c r="R150" s="147"/>
      <c r="S150" s="147"/>
      <c r="T150" s="147"/>
      <c r="U150" s="147"/>
    </row>
    <row r="151" spans="1:21" ht="23.25">
      <c r="A151" s="298"/>
      <c r="B151" s="141"/>
      <c r="C151" s="141"/>
      <c r="D151" s="147"/>
      <c r="E151" s="147"/>
      <c r="F151" s="68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37"/>
      <c r="U151" s="137"/>
    </row>
    <row r="152" spans="1:21" ht="23.25">
      <c r="A152" s="205"/>
      <c r="B152" s="141"/>
      <c r="C152" s="141"/>
      <c r="D152" s="147"/>
      <c r="E152" s="147"/>
      <c r="F152" s="68"/>
      <c r="G152" s="299"/>
      <c r="H152" s="147"/>
      <c r="I152" s="68"/>
      <c r="J152" s="68"/>
      <c r="K152" s="68"/>
      <c r="L152" s="68"/>
      <c r="M152" s="68"/>
      <c r="N152" s="68"/>
      <c r="O152" s="68"/>
      <c r="P152" s="169"/>
      <c r="Q152" s="147"/>
      <c r="R152" s="147"/>
      <c r="S152" s="147"/>
      <c r="T152" s="147"/>
      <c r="U152" s="147"/>
    </row>
    <row r="153" spans="1:21" ht="23.25">
      <c r="A153" s="68"/>
      <c r="B153" s="175"/>
      <c r="C153" s="175"/>
      <c r="D153" s="118"/>
      <c r="E153" s="175"/>
      <c r="F153" s="175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37"/>
      <c r="U153" s="137"/>
    </row>
    <row r="154" spans="1:21" ht="23.25">
      <c r="A154" s="298"/>
      <c r="B154" s="68"/>
      <c r="C154" s="68"/>
      <c r="D154" s="147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147"/>
      <c r="R154" s="68"/>
      <c r="S154" s="68"/>
      <c r="T154" s="300"/>
      <c r="U154" s="300"/>
    </row>
    <row r="155" spans="1:21" ht="23.25">
      <c r="A155" s="205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23.25">
      <c r="A156" s="205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23.25">
      <c r="A157" s="205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23.25">
      <c r="A158" s="205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23.25">
      <c r="A159" s="205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23.25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</row>
    <row r="161" spans="1:21" ht="23.2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</row>
    <row r="162" spans="1:21" ht="23.25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</row>
    <row r="163" spans="1:21" ht="23.25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</row>
    <row r="164" spans="1:21" ht="23.25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</row>
    <row r="165" spans="1:21" ht="23.25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</row>
    <row r="166" spans="1:21" ht="23.2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</row>
    <row r="167" spans="1:21" ht="23.25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</row>
    <row r="169" ht="39.75">
      <c r="A169" s="252"/>
    </row>
    <row r="170" ht="39.75">
      <c r="A170" s="252"/>
    </row>
  </sheetData>
  <sheetProtection/>
  <mergeCells count="74">
    <mergeCell ref="F99:G99"/>
    <mergeCell ref="B76:C76"/>
    <mergeCell ref="C6:D6"/>
    <mergeCell ref="C18:D18"/>
    <mergeCell ref="C5:D5"/>
    <mergeCell ref="B88:C88"/>
    <mergeCell ref="B75:C75"/>
    <mergeCell ref="A67:U67"/>
    <mergeCell ref="B48:C48"/>
    <mergeCell ref="A33:U33"/>
    <mergeCell ref="B38:C38"/>
    <mergeCell ref="C7:D7"/>
    <mergeCell ref="A1:U1"/>
    <mergeCell ref="A2:A3"/>
    <mergeCell ref="C2:D2"/>
    <mergeCell ref="B39:C39"/>
    <mergeCell ref="C8:D8"/>
    <mergeCell ref="B40:C40"/>
    <mergeCell ref="C13:D13"/>
    <mergeCell ref="C19:D19"/>
    <mergeCell ref="C14:D14"/>
    <mergeCell ref="C4:D4"/>
    <mergeCell ref="A116:U116"/>
    <mergeCell ref="B94:C94"/>
    <mergeCell ref="B58:C58"/>
    <mergeCell ref="C68:D68"/>
    <mergeCell ref="C113:E113"/>
    <mergeCell ref="B90:C90"/>
    <mergeCell ref="B93:C93"/>
    <mergeCell ref="A115:U115"/>
    <mergeCell ref="F113:H113"/>
    <mergeCell ref="C79:D79"/>
    <mergeCell ref="B43:C43"/>
    <mergeCell ref="B82:C82"/>
    <mergeCell ref="C80:D80"/>
    <mergeCell ref="C62:D62"/>
    <mergeCell ref="B77:C77"/>
    <mergeCell ref="B41:C41"/>
    <mergeCell ref="C25:D25"/>
    <mergeCell ref="B42:C42"/>
    <mergeCell ref="C37:D37"/>
    <mergeCell ref="B28:C28"/>
    <mergeCell ref="A145:A146"/>
    <mergeCell ref="C145:D145"/>
    <mergeCell ref="A143:U143"/>
    <mergeCell ref="A144:U144"/>
    <mergeCell ref="A142:U142"/>
    <mergeCell ref="C117:D117"/>
    <mergeCell ref="A117:A118"/>
    <mergeCell ref="B87:C87"/>
    <mergeCell ref="A68:A69"/>
    <mergeCell ref="A35:A36"/>
    <mergeCell ref="B49:C49"/>
    <mergeCell ref="B81:C81"/>
    <mergeCell ref="B60:C60"/>
    <mergeCell ref="B51:C51"/>
    <mergeCell ref="B57:C57"/>
    <mergeCell ref="B63:C63"/>
    <mergeCell ref="B46:C46"/>
    <mergeCell ref="B56:C56"/>
    <mergeCell ref="B55:C55"/>
    <mergeCell ref="B53:C53"/>
    <mergeCell ref="B52:C52"/>
    <mergeCell ref="B47:C47"/>
    <mergeCell ref="B44:C44"/>
    <mergeCell ref="C70:D70"/>
    <mergeCell ref="B54:C54"/>
    <mergeCell ref="B50:C50"/>
    <mergeCell ref="C24:D24"/>
    <mergeCell ref="B45:C45"/>
    <mergeCell ref="B29:C29"/>
    <mergeCell ref="A34:U34"/>
    <mergeCell ref="C35:D35"/>
    <mergeCell ref="A66:U66"/>
  </mergeCells>
  <printOptions/>
  <pageMargins left="0.4724409448818898" right="0.15748031496062992" top="0.4330708661417323" bottom="0.1968503937007874" header="0.9448818897637796" footer="0.5118110236220472"/>
  <pageSetup horizontalDpi="600" verticalDpi="600" orientation="landscape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E21"/>
  <sheetViews>
    <sheetView zoomScaleSheetLayoutView="80" zoomScalePageLayoutView="0" workbookViewId="0" topLeftCell="A13">
      <selection activeCell="B22" sqref="B22"/>
    </sheetView>
  </sheetViews>
  <sheetFormatPr defaultColWidth="9.140625" defaultRowHeight="23.25"/>
  <cols>
    <col min="1" max="1" width="39.28125" style="167" customWidth="1"/>
    <col min="2" max="4" width="25.421875" style="167" customWidth="1"/>
    <col min="5" max="5" width="12.8515625" style="167" bestFit="1" customWidth="1"/>
    <col min="6" max="16384" width="9.140625" style="167" customWidth="1"/>
  </cols>
  <sheetData>
    <row r="1" spans="1:4" ht="26.25">
      <c r="A1" s="655" t="s">
        <v>552</v>
      </c>
      <c r="B1" s="655"/>
      <c r="C1" s="655"/>
      <c r="D1" s="655"/>
    </row>
    <row r="2" spans="1:4" ht="26.25">
      <c r="A2" s="655" t="s">
        <v>579</v>
      </c>
      <c r="B2" s="655"/>
      <c r="C2" s="655"/>
      <c r="D2" s="655"/>
    </row>
    <row r="3" spans="1:4" ht="26.25">
      <c r="A3" s="655" t="s">
        <v>580</v>
      </c>
      <c r="B3" s="655"/>
      <c r="C3" s="655"/>
      <c r="D3" s="655"/>
    </row>
    <row r="4" spans="1:4" ht="23.25">
      <c r="A4" s="656" t="s">
        <v>4</v>
      </c>
      <c r="B4" s="518" t="s">
        <v>531</v>
      </c>
      <c r="C4" s="518" t="s">
        <v>532</v>
      </c>
      <c r="D4" s="518" t="s">
        <v>6</v>
      </c>
    </row>
    <row r="5" spans="1:4" ht="23.25">
      <c r="A5" s="657"/>
      <c r="B5" s="521"/>
      <c r="C5" s="521" t="s">
        <v>533</v>
      </c>
      <c r="D5" s="521" t="s">
        <v>5</v>
      </c>
    </row>
    <row r="6" spans="1:5" ht="23.25">
      <c r="A6" s="523" t="s">
        <v>392</v>
      </c>
      <c r="B6" s="634">
        <v>49855</v>
      </c>
      <c r="C6" s="180">
        <f>'งบกลาง (2)'!T4</f>
        <v>49651</v>
      </c>
      <c r="D6" s="180">
        <f>'งบกลาง (2)'!U4</f>
        <v>204</v>
      </c>
      <c r="E6" s="278"/>
    </row>
    <row r="7" spans="1:5" ht="21.75" customHeight="1">
      <c r="A7" s="523" t="s">
        <v>393</v>
      </c>
      <c r="B7" s="634">
        <v>5077200</v>
      </c>
      <c r="C7" s="180">
        <f>'งบกลาง (2)'!T5</f>
        <v>5050900</v>
      </c>
      <c r="D7" s="180">
        <f>'งบกลาง (2)'!U5</f>
        <v>26300</v>
      </c>
      <c r="E7" s="278"/>
    </row>
    <row r="8" spans="1:5" ht="21.75" customHeight="1">
      <c r="A8" s="523" t="s">
        <v>394</v>
      </c>
      <c r="B8" s="634">
        <v>1574400</v>
      </c>
      <c r="C8" s="180">
        <f>'งบกลาง (2)'!T6</f>
        <v>1447200</v>
      </c>
      <c r="D8" s="180">
        <f>'งบกลาง (2)'!U6</f>
        <v>127200</v>
      </c>
      <c r="E8" s="278"/>
    </row>
    <row r="9" spans="1:5" ht="21.75" customHeight="1">
      <c r="A9" s="523" t="s">
        <v>389</v>
      </c>
      <c r="B9" s="634">
        <v>6000</v>
      </c>
      <c r="C9" s="180">
        <f>'งบกลาง (2)'!T7</f>
        <v>6000</v>
      </c>
      <c r="D9" s="180">
        <f>'งบกลาง (2)'!U7</f>
        <v>0</v>
      </c>
      <c r="E9" s="278"/>
    </row>
    <row r="10" spans="1:5" ht="23.25" customHeight="1">
      <c r="A10" s="523" t="s">
        <v>391</v>
      </c>
      <c r="B10" s="634">
        <v>250000</v>
      </c>
      <c r="C10" s="180">
        <f>'งบกลาง (2)'!T8</f>
        <v>3210</v>
      </c>
      <c r="D10" s="180">
        <f>'งบกลาง (2)'!U8</f>
        <v>246790</v>
      </c>
      <c r="E10" s="278"/>
    </row>
    <row r="11" spans="1:5" ht="23.25" customHeight="1">
      <c r="A11" s="523" t="s">
        <v>390</v>
      </c>
      <c r="B11" s="634">
        <v>80000</v>
      </c>
      <c r="C11" s="180">
        <f>'งบกลาง (2)'!T9</f>
        <v>80000</v>
      </c>
      <c r="D11" s="180">
        <f>'งบกลาง (2)'!U9</f>
        <v>0</v>
      </c>
      <c r="E11" s="278"/>
    </row>
    <row r="12" spans="1:5" ht="23.25" customHeight="1">
      <c r="A12" s="523" t="s">
        <v>315</v>
      </c>
      <c r="B12" s="582">
        <v>137300</v>
      </c>
      <c r="C12" s="180">
        <f>'งบกลาง (2)'!T10</f>
        <v>137300</v>
      </c>
      <c r="D12" s="180">
        <f>'งบกลาง (2)'!U10</f>
        <v>0</v>
      </c>
      <c r="E12" s="278"/>
    </row>
    <row r="13" spans="1:5" ht="24" customHeight="1">
      <c r="A13" s="523"/>
      <c r="B13" s="582"/>
      <c r="C13" s="180"/>
      <c r="D13" s="180"/>
      <c r="E13" s="278"/>
    </row>
    <row r="14" spans="1:5" ht="24" thickBot="1">
      <c r="A14" s="585"/>
      <c r="B14" s="627"/>
      <c r="C14" s="180"/>
      <c r="D14" s="180"/>
      <c r="E14" s="278"/>
    </row>
    <row r="15" spans="1:5" ht="24.75" thickBot="1" thickTop="1">
      <c r="A15" s="585"/>
      <c r="B15" s="637">
        <f>SUM(B6:B14)</f>
        <v>7174755</v>
      </c>
      <c r="C15" s="635">
        <f>C6+C7+C8+C9+C10+C11+C12</f>
        <v>6774261</v>
      </c>
      <c r="D15" s="635">
        <f>D6+D7+D8+D9+D10+D11+D12</f>
        <v>400494</v>
      </c>
      <c r="E15" s="278"/>
    </row>
    <row r="16" spans="3:4" s="175" customFormat="1" ht="24" thickTop="1">
      <c r="C16" s="636"/>
      <c r="D16" s="636"/>
    </row>
    <row r="17" spans="3:4" s="175" customFormat="1" ht="23.25">
      <c r="C17" s="636"/>
      <c r="D17" s="636"/>
    </row>
    <row r="19" spans="1:4" ht="23.25">
      <c r="A19" s="278"/>
      <c r="B19" s="278"/>
      <c r="C19" s="278"/>
      <c r="D19" s="278"/>
    </row>
    <row r="20" ht="23.25">
      <c r="A20" s="278"/>
    </row>
    <row r="21" ht="23.25">
      <c r="A21" s="278"/>
    </row>
  </sheetData>
  <sheetProtection/>
  <mergeCells count="4">
    <mergeCell ref="A3:D3"/>
    <mergeCell ref="A4:A5"/>
    <mergeCell ref="A1:D1"/>
    <mergeCell ref="A2:D2"/>
  </mergeCells>
  <printOptions/>
  <pageMargins left="0.6692913385826772" right="0.15748031496062992" top="0.5905511811023623" bottom="0.5905511811023623" header="0.5118110236220472" footer="0.511811023622047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V47"/>
  <sheetViews>
    <sheetView zoomScaleSheetLayoutView="80" zoomScalePageLayoutView="0" workbookViewId="0" topLeftCell="A1">
      <pane xSplit="7" ySplit="1" topLeftCell="L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14" sqref="F14"/>
    </sheetView>
  </sheetViews>
  <sheetFormatPr defaultColWidth="9.140625" defaultRowHeight="23.25"/>
  <cols>
    <col min="1" max="1" width="39.28125" style="167" customWidth="1"/>
    <col min="2" max="2" width="5.00390625" style="167" customWidth="1"/>
    <col min="3" max="3" width="4.140625" style="167" bestFit="1" customWidth="1"/>
    <col min="4" max="4" width="9.57421875" style="167" customWidth="1"/>
    <col min="5" max="5" width="6.57421875" style="167" customWidth="1"/>
    <col min="6" max="6" width="6.8515625" style="167" bestFit="1" customWidth="1"/>
    <col min="7" max="7" width="9.57421875" style="167" customWidth="1"/>
    <col min="8" max="8" width="9.7109375" style="167" customWidth="1"/>
    <col min="9" max="12" width="8.7109375" style="167" customWidth="1"/>
    <col min="13" max="13" width="9.00390625" style="167" customWidth="1"/>
    <col min="14" max="14" width="9.00390625" style="167" bestFit="1" customWidth="1"/>
    <col min="15" max="15" width="8.7109375" style="167" customWidth="1"/>
    <col min="16" max="16" width="9.140625" style="167" customWidth="1"/>
    <col min="17" max="18" width="9.00390625" style="167" bestFit="1" customWidth="1"/>
    <col min="19" max="19" width="8.8515625" style="167" customWidth="1"/>
    <col min="20" max="20" width="11.140625" style="167" customWidth="1"/>
    <col min="21" max="21" width="10.7109375" style="167" customWidth="1"/>
    <col min="22" max="22" width="12.8515625" style="167" bestFit="1" customWidth="1"/>
    <col min="23" max="16384" width="9.140625" style="167" customWidth="1"/>
  </cols>
  <sheetData>
    <row r="1" spans="1:21" ht="23.25">
      <c r="A1" s="739" t="s">
        <v>490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</row>
    <row r="2" spans="1:21" ht="23.25">
      <c r="A2" s="659" t="s">
        <v>4</v>
      </c>
      <c r="B2" s="119"/>
      <c r="C2" s="715" t="s">
        <v>51</v>
      </c>
      <c r="D2" s="715"/>
      <c r="E2" s="120" t="s">
        <v>9</v>
      </c>
      <c r="F2" s="121" t="s">
        <v>9</v>
      </c>
      <c r="G2" s="120" t="s">
        <v>25</v>
      </c>
      <c r="H2" s="120" t="s">
        <v>26</v>
      </c>
      <c r="I2" s="121" t="s">
        <v>27</v>
      </c>
      <c r="J2" s="120" t="s">
        <v>28</v>
      </c>
      <c r="K2" s="121" t="s">
        <v>29</v>
      </c>
      <c r="L2" s="120" t="s">
        <v>30</v>
      </c>
      <c r="M2" s="121" t="s">
        <v>31</v>
      </c>
      <c r="N2" s="120" t="s">
        <v>32</v>
      </c>
      <c r="O2" s="121" t="s">
        <v>33</v>
      </c>
      <c r="P2" s="120" t="s">
        <v>34</v>
      </c>
      <c r="Q2" s="121" t="s">
        <v>35</v>
      </c>
      <c r="R2" s="120" t="s">
        <v>36</v>
      </c>
      <c r="S2" s="120" t="s">
        <v>37</v>
      </c>
      <c r="T2" s="120" t="s">
        <v>25</v>
      </c>
      <c r="U2" s="125" t="s">
        <v>6</v>
      </c>
    </row>
    <row r="3" spans="1:21" ht="23.25">
      <c r="A3" s="660"/>
      <c r="B3" s="92" t="s">
        <v>8</v>
      </c>
      <c r="C3" s="101" t="s">
        <v>9</v>
      </c>
      <c r="D3" s="94" t="s">
        <v>54</v>
      </c>
      <c r="E3" s="95" t="s">
        <v>10</v>
      </c>
      <c r="F3" s="96" t="s">
        <v>11</v>
      </c>
      <c r="G3" s="95" t="s">
        <v>69</v>
      </c>
      <c r="H3" s="182"/>
      <c r="I3" s="172"/>
      <c r="J3" s="182"/>
      <c r="K3" s="172"/>
      <c r="L3" s="182"/>
      <c r="M3" s="172"/>
      <c r="N3" s="182"/>
      <c r="O3" s="172"/>
      <c r="P3" s="182"/>
      <c r="Q3" s="172"/>
      <c r="R3" s="182"/>
      <c r="S3" s="182"/>
      <c r="T3" s="95"/>
      <c r="U3" s="99" t="s">
        <v>5</v>
      </c>
    </row>
    <row r="4" spans="1:22" ht="23.25">
      <c r="A4" s="30" t="s">
        <v>392</v>
      </c>
      <c r="B4" s="279" t="s">
        <v>202</v>
      </c>
      <c r="C4" s="212"/>
      <c r="D4" s="58">
        <v>49855</v>
      </c>
      <c r="E4" s="58">
        <v>0</v>
      </c>
      <c r="F4" s="52"/>
      <c r="G4" s="52">
        <f aca="true" t="shared" si="0" ref="G4:G12">+D4+E4-F4</f>
        <v>49855</v>
      </c>
      <c r="H4" s="52">
        <v>3811</v>
      </c>
      <c r="I4" s="52">
        <v>3820</v>
      </c>
      <c r="J4" s="52">
        <v>3820</v>
      </c>
      <c r="K4" s="52">
        <v>3820</v>
      </c>
      <c r="L4" s="52">
        <v>3820</v>
      </c>
      <c r="M4" s="52">
        <v>3820</v>
      </c>
      <c r="N4" s="52">
        <v>3820</v>
      </c>
      <c r="O4" s="52">
        <v>3820</v>
      </c>
      <c r="P4" s="52">
        <v>3820</v>
      </c>
      <c r="Q4" s="52">
        <v>3820</v>
      </c>
      <c r="R4" s="52">
        <v>3820</v>
      </c>
      <c r="S4" s="52">
        <f>3820+3820</f>
        <v>7640</v>
      </c>
      <c r="T4" s="135">
        <f aca="true" t="shared" si="1" ref="T4:T12">SUM(H4:S4)</f>
        <v>49651</v>
      </c>
      <c r="U4" s="135">
        <f aca="true" t="shared" si="2" ref="U4:U12">+G4-T4</f>
        <v>204</v>
      </c>
      <c r="V4" s="278"/>
    </row>
    <row r="5" spans="1:22" s="460" customFormat="1" ht="21.75" customHeight="1">
      <c r="A5" s="491" t="s">
        <v>393</v>
      </c>
      <c r="B5" s="464" t="s">
        <v>203</v>
      </c>
      <c r="C5" s="492"/>
      <c r="D5" s="493">
        <v>5077200</v>
      </c>
      <c r="E5" s="493"/>
      <c r="F5" s="494">
        <v>0</v>
      </c>
      <c r="G5" s="494">
        <f t="shared" si="0"/>
        <v>5077200</v>
      </c>
      <c r="H5" s="459">
        <v>424800</v>
      </c>
      <c r="I5" s="459">
        <v>424800</v>
      </c>
      <c r="J5" s="459">
        <v>424000</v>
      </c>
      <c r="K5" s="459">
        <v>423000</v>
      </c>
      <c r="L5" s="459">
        <v>422200</v>
      </c>
      <c r="M5" s="459">
        <v>421400</v>
      </c>
      <c r="N5" s="459">
        <v>421400</v>
      </c>
      <c r="O5" s="459">
        <v>419800</v>
      </c>
      <c r="P5" s="459">
        <v>0</v>
      </c>
      <c r="Q5" s="459">
        <f>419800+419100</f>
        <v>838900</v>
      </c>
      <c r="R5" s="459">
        <v>416100</v>
      </c>
      <c r="S5" s="459">
        <v>414500</v>
      </c>
      <c r="T5" s="447">
        <f t="shared" si="1"/>
        <v>5050900</v>
      </c>
      <c r="U5" s="447">
        <f t="shared" si="2"/>
        <v>26300</v>
      </c>
      <c r="V5" s="468"/>
    </row>
    <row r="6" spans="1:22" s="460" customFormat="1" ht="21.75" customHeight="1">
      <c r="A6" s="491" t="s">
        <v>394</v>
      </c>
      <c r="B6" s="464"/>
      <c r="C6" s="492"/>
      <c r="D6" s="493">
        <v>1574400</v>
      </c>
      <c r="E6" s="493">
        <v>0</v>
      </c>
      <c r="F6" s="494"/>
      <c r="G6" s="494">
        <f>+D6+E6-F6</f>
        <v>1574400</v>
      </c>
      <c r="H6" s="459">
        <v>119200</v>
      </c>
      <c r="I6" s="459">
        <v>119200</v>
      </c>
      <c r="J6" s="459">
        <v>120800</v>
      </c>
      <c r="K6" s="459">
        <v>120000</v>
      </c>
      <c r="L6" s="459">
        <v>120800</v>
      </c>
      <c r="M6" s="459">
        <v>121600</v>
      </c>
      <c r="N6" s="459">
        <v>121600</v>
      </c>
      <c r="O6" s="459">
        <v>120000</v>
      </c>
      <c r="P6" s="459">
        <v>0</v>
      </c>
      <c r="Q6" s="459">
        <f>120800*2</f>
        <v>241600</v>
      </c>
      <c r="R6" s="459">
        <v>120800</v>
      </c>
      <c r="S6" s="459">
        <v>121600</v>
      </c>
      <c r="T6" s="447">
        <f>SUM(H6:S6)</f>
        <v>1447200</v>
      </c>
      <c r="U6" s="447">
        <f>+G6-T6</f>
        <v>127200</v>
      </c>
      <c r="V6" s="468"/>
    </row>
    <row r="7" spans="1:22" s="460" customFormat="1" ht="21.75" customHeight="1">
      <c r="A7" s="491" t="s">
        <v>389</v>
      </c>
      <c r="B7" s="464"/>
      <c r="C7" s="492"/>
      <c r="D7" s="493">
        <v>6000</v>
      </c>
      <c r="E7" s="493"/>
      <c r="F7" s="494"/>
      <c r="G7" s="494">
        <f>+D7+E7-F7</f>
        <v>6000</v>
      </c>
      <c r="H7" s="459">
        <v>500</v>
      </c>
      <c r="I7" s="459">
        <v>500</v>
      </c>
      <c r="J7" s="459">
        <v>500</v>
      </c>
      <c r="K7" s="459">
        <v>500</v>
      </c>
      <c r="L7" s="459">
        <v>500</v>
      </c>
      <c r="M7" s="459">
        <v>500</v>
      </c>
      <c r="N7" s="459">
        <v>500</v>
      </c>
      <c r="O7" s="459">
        <v>500</v>
      </c>
      <c r="P7" s="459">
        <v>0</v>
      </c>
      <c r="Q7" s="459">
        <v>1000</v>
      </c>
      <c r="R7" s="459">
        <v>500</v>
      </c>
      <c r="S7" s="459">
        <v>500</v>
      </c>
      <c r="T7" s="447">
        <f>SUM(H7:S7)</f>
        <v>6000</v>
      </c>
      <c r="U7" s="447">
        <f>+G7-T7</f>
        <v>0</v>
      </c>
      <c r="V7" s="468"/>
    </row>
    <row r="8" spans="1:22" ht="23.25" customHeight="1">
      <c r="A8" s="30" t="s">
        <v>391</v>
      </c>
      <c r="B8" s="279" t="s">
        <v>204</v>
      </c>
      <c r="C8" s="57"/>
      <c r="D8" s="58">
        <v>250000</v>
      </c>
      <c r="E8" s="316"/>
      <c r="F8" s="52"/>
      <c r="G8" s="52">
        <f t="shared" si="0"/>
        <v>250000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3210</v>
      </c>
      <c r="P8" s="52">
        <v>0</v>
      </c>
      <c r="Q8" s="52">
        <v>0</v>
      </c>
      <c r="R8" s="52">
        <v>0</v>
      </c>
      <c r="S8" s="52">
        <v>0</v>
      </c>
      <c r="T8" s="135">
        <f t="shared" si="1"/>
        <v>3210</v>
      </c>
      <c r="U8" s="135">
        <f t="shared" si="2"/>
        <v>246790</v>
      </c>
      <c r="V8" s="278"/>
    </row>
    <row r="9" spans="1:22" ht="23.25" customHeight="1">
      <c r="A9" s="30" t="s">
        <v>390</v>
      </c>
      <c r="B9" s="279" t="s">
        <v>205</v>
      </c>
      <c r="C9" s="229"/>
      <c r="D9" s="58">
        <v>80000</v>
      </c>
      <c r="E9" s="58"/>
      <c r="F9" s="52"/>
      <c r="G9" s="52">
        <f t="shared" si="0"/>
        <v>80000</v>
      </c>
      <c r="H9" s="52">
        <v>0</v>
      </c>
      <c r="I9" s="52">
        <v>0</v>
      </c>
      <c r="J9" s="52">
        <v>0</v>
      </c>
      <c r="K9" s="52">
        <v>80000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135">
        <f t="shared" si="1"/>
        <v>80000</v>
      </c>
      <c r="U9" s="135">
        <f t="shared" si="2"/>
        <v>0</v>
      </c>
      <c r="V9" s="278"/>
    </row>
    <row r="10" spans="1:22" ht="23.25" customHeight="1">
      <c r="A10" s="30" t="s">
        <v>315</v>
      </c>
      <c r="B10" s="279" t="s">
        <v>206</v>
      </c>
      <c r="C10" s="289"/>
      <c r="D10" s="37">
        <v>137300</v>
      </c>
      <c r="E10" s="37"/>
      <c r="F10" s="52"/>
      <c r="G10" s="52">
        <f t="shared" si="0"/>
        <v>137300</v>
      </c>
      <c r="H10" s="52">
        <v>137300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135">
        <f t="shared" si="1"/>
        <v>137300</v>
      </c>
      <c r="U10" s="135">
        <f t="shared" si="2"/>
        <v>0</v>
      </c>
      <c r="V10" s="278"/>
    </row>
    <row r="11" spans="1:22" ht="24" customHeight="1">
      <c r="A11" s="30"/>
      <c r="B11" s="279"/>
      <c r="C11" s="133"/>
      <c r="D11" s="37"/>
      <c r="E11" s="37"/>
      <c r="F11" s="52"/>
      <c r="G11" s="52">
        <f t="shared" si="0"/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135">
        <f t="shared" si="1"/>
        <v>0</v>
      </c>
      <c r="U11" s="135">
        <f t="shared" si="2"/>
        <v>0</v>
      </c>
      <c r="V11" s="278"/>
    </row>
    <row r="12" spans="1:22" ht="24" thickBot="1">
      <c r="A12" s="160"/>
      <c r="B12" s="1"/>
      <c r="C12" s="1"/>
      <c r="D12" s="36"/>
      <c r="E12" s="143"/>
      <c r="F12" s="22"/>
      <c r="G12" s="91">
        <f t="shared" si="0"/>
        <v>0</v>
      </c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135">
        <f t="shared" si="1"/>
        <v>0</v>
      </c>
      <c r="U12" s="135">
        <f t="shared" si="2"/>
        <v>0</v>
      </c>
      <c r="V12" s="278"/>
    </row>
    <row r="13" spans="1:22" ht="24.75" thickBot="1" thickTop="1">
      <c r="A13" s="160"/>
      <c r="B13" s="1"/>
      <c r="C13" s="1"/>
      <c r="D13" s="36">
        <f>SUM(D4:D12)</f>
        <v>7174755</v>
      </c>
      <c r="E13" s="143"/>
      <c r="F13" s="22"/>
      <c r="G13" s="432">
        <f>G4+G5+G6+G7+G8+G9+G10</f>
        <v>7174755</v>
      </c>
      <c r="H13" s="432">
        <f aca="true" t="shared" si="3" ref="H13:U13">H4+H5+H6+H7+H8+H9+H10</f>
        <v>685611</v>
      </c>
      <c r="I13" s="432">
        <f t="shared" si="3"/>
        <v>548320</v>
      </c>
      <c r="J13" s="432">
        <f t="shared" si="3"/>
        <v>549120</v>
      </c>
      <c r="K13" s="432">
        <f t="shared" si="3"/>
        <v>627320</v>
      </c>
      <c r="L13" s="432">
        <f t="shared" si="3"/>
        <v>547320</v>
      </c>
      <c r="M13" s="432">
        <f t="shared" si="3"/>
        <v>547320</v>
      </c>
      <c r="N13" s="432">
        <f t="shared" si="3"/>
        <v>547320</v>
      </c>
      <c r="O13" s="432">
        <f t="shared" si="3"/>
        <v>547330</v>
      </c>
      <c r="P13" s="432">
        <f t="shared" si="3"/>
        <v>3820</v>
      </c>
      <c r="Q13" s="432">
        <f t="shared" si="3"/>
        <v>1085320</v>
      </c>
      <c r="R13" s="432">
        <f t="shared" si="3"/>
        <v>541220</v>
      </c>
      <c r="S13" s="432">
        <f t="shared" si="3"/>
        <v>544240</v>
      </c>
      <c r="T13" s="432">
        <f t="shared" si="3"/>
        <v>6774261</v>
      </c>
      <c r="U13" s="432">
        <f t="shared" si="3"/>
        <v>400494</v>
      </c>
      <c r="V13" s="278"/>
    </row>
    <row r="14" spans="1:21" ht="24" thickTop="1">
      <c r="A14" s="160"/>
      <c r="B14" s="1"/>
      <c r="C14" s="1"/>
      <c r="D14" s="36"/>
      <c r="E14" s="143"/>
      <c r="F14" s="22"/>
      <c r="G14" s="47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4"/>
      <c r="U14" s="214"/>
    </row>
    <row r="15" spans="1:21" ht="23.25">
      <c r="A15" s="160"/>
      <c r="B15" s="1"/>
      <c r="C15" s="1"/>
      <c r="D15" s="36"/>
      <c r="E15" s="14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"/>
      <c r="U15" s="2"/>
    </row>
    <row r="16" spans="1:21" ht="23.25">
      <c r="A16" s="105"/>
      <c r="B16" s="1"/>
      <c r="C16" s="1"/>
      <c r="D16" s="143"/>
      <c r="E16" s="143"/>
      <c r="F16" s="22"/>
      <c r="G16" s="22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215"/>
      <c r="U16" s="215"/>
    </row>
    <row r="17" spans="1:21" ht="23.25">
      <c r="A17" s="221"/>
      <c r="B17" s="1"/>
      <c r="C17" s="1"/>
      <c r="D17" s="143"/>
      <c r="E17" s="14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"/>
      <c r="U17" s="2"/>
    </row>
    <row r="18" spans="1:21" ht="23.25">
      <c r="A18" s="105"/>
      <c r="B18" s="1"/>
      <c r="C18" s="1"/>
      <c r="D18" s="143"/>
      <c r="E18" s="14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"/>
      <c r="U18" s="2"/>
    </row>
    <row r="19" spans="1:21" ht="23.25">
      <c r="A19" s="144"/>
      <c r="B19" s="144"/>
      <c r="C19" s="144"/>
      <c r="D19" s="14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"/>
      <c r="U19" s="2"/>
    </row>
    <row r="20" spans="1:21" ht="23.25">
      <c r="A20" s="216"/>
      <c r="B20" s="216"/>
      <c r="C20" s="216"/>
      <c r="D20" s="2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75" customFormat="1" ht="23.25">
      <c r="A21" s="217"/>
      <c r="B21" s="217"/>
      <c r="C21" s="217"/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</row>
    <row r="22" spans="1:21" s="175" customFormat="1" ht="23.25">
      <c r="A22" s="217"/>
      <c r="B22" s="217"/>
      <c r="C22" s="217"/>
      <c r="D22" s="217"/>
      <c r="E22" s="218"/>
      <c r="F22" s="761">
        <f>G5+G6+G7</f>
        <v>6657600</v>
      </c>
      <c r="G22" s="761"/>
      <c r="H22" s="499">
        <f>H5+H6+H7</f>
        <v>544500</v>
      </c>
      <c r="I22" s="499">
        <f aca="true" t="shared" si="4" ref="I22:T22">I5+I6+I7</f>
        <v>544500</v>
      </c>
      <c r="J22" s="499">
        <f t="shared" si="4"/>
        <v>545300</v>
      </c>
      <c r="K22" s="499">
        <f t="shared" si="4"/>
        <v>543500</v>
      </c>
      <c r="L22" s="499">
        <f t="shared" si="4"/>
        <v>543500</v>
      </c>
      <c r="M22" s="499">
        <f t="shared" si="4"/>
        <v>543500</v>
      </c>
      <c r="N22" s="499">
        <f t="shared" si="4"/>
        <v>543500</v>
      </c>
      <c r="O22" s="499">
        <f t="shared" si="4"/>
        <v>540300</v>
      </c>
      <c r="P22" s="499">
        <f t="shared" si="4"/>
        <v>0</v>
      </c>
      <c r="Q22" s="499">
        <f t="shared" si="4"/>
        <v>1081500</v>
      </c>
      <c r="R22" s="499">
        <f t="shared" si="4"/>
        <v>537400</v>
      </c>
      <c r="S22" s="499">
        <f t="shared" si="4"/>
        <v>536600</v>
      </c>
      <c r="T22" s="499">
        <f t="shared" si="4"/>
        <v>6504100</v>
      </c>
      <c r="U22" s="218"/>
    </row>
    <row r="23" spans="1:21" ht="23.2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26.25">
      <c r="A24" s="430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ht="23.25">
      <c r="A25" s="431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39.75">
      <c r="A26" s="252"/>
      <c r="B26" s="33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23.2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ht="23.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23.2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23.2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ht="23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23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ht="23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23.2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23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23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23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23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23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23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23.2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23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23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23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23.2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23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ht="23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</sheetData>
  <sheetProtection/>
  <mergeCells count="4">
    <mergeCell ref="A1:U1"/>
    <mergeCell ref="A2:A3"/>
    <mergeCell ref="C2:D2"/>
    <mergeCell ref="F22:G22"/>
  </mergeCells>
  <printOptions/>
  <pageMargins left="0.6692913385826772" right="0.15748031496062992" top="0.1968503937007874" bottom="0.1968503937007874" header="0.5118110236220472" footer="0.5118110236220472"/>
  <pageSetup horizontalDpi="300" verticalDpi="300" orientation="landscape" paperSize="5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V48"/>
  <sheetViews>
    <sheetView zoomScale="90" zoomScaleNormal="90" zoomScaleSheetLayoutView="8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M17" sqref="M17"/>
    </sheetView>
  </sheetViews>
  <sheetFormatPr defaultColWidth="9.140625" defaultRowHeight="23.25"/>
  <cols>
    <col min="1" max="1" width="39.28125" style="167" customWidth="1"/>
    <col min="2" max="2" width="5.00390625" style="167" customWidth="1"/>
    <col min="3" max="3" width="4.140625" style="167" bestFit="1" customWidth="1"/>
    <col min="4" max="4" width="9.57421875" style="167" customWidth="1"/>
    <col min="5" max="5" width="6.57421875" style="167" customWidth="1"/>
    <col min="6" max="6" width="6.8515625" style="167" bestFit="1" customWidth="1"/>
    <col min="7" max="7" width="9.57421875" style="167" customWidth="1"/>
    <col min="8" max="8" width="9.7109375" style="167" customWidth="1"/>
    <col min="9" max="12" width="8.7109375" style="167" customWidth="1"/>
    <col min="13" max="13" width="9.00390625" style="167" customWidth="1"/>
    <col min="14" max="14" width="9.00390625" style="167" bestFit="1" customWidth="1"/>
    <col min="15" max="15" width="8.7109375" style="167" customWidth="1"/>
    <col min="16" max="16" width="9.140625" style="167" customWidth="1"/>
    <col min="17" max="18" width="9.00390625" style="167" bestFit="1" customWidth="1"/>
    <col min="19" max="19" width="8.8515625" style="167" customWidth="1"/>
    <col min="20" max="20" width="11.140625" style="167" customWidth="1"/>
    <col min="21" max="21" width="10.7109375" style="167" customWidth="1"/>
    <col min="22" max="22" width="12.8515625" style="167" bestFit="1" customWidth="1"/>
    <col min="23" max="16384" width="9.140625" style="167" customWidth="1"/>
  </cols>
  <sheetData>
    <row r="1" spans="1:21" ht="23.25">
      <c r="A1" s="739" t="s">
        <v>490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</row>
    <row r="2" spans="1:21" ht="23.25">
      <c r="A2" s="659" t="s">
        <v>4</v>
      </c>
      <c r="B2" s="119"/>
      <c r="C2" s="715" t="s">
        <v>51</v>
      </c>
      <c r="D2" s="715"/>
      <c r="E2" s="120" t="s">
        <v>9</v>
      </c>
      <c r="F2" s="121" t="s">
        <v>9</v>
      </c>
      <c r="G2" s="120" t="s">
        <v>25</v>
      </c>
      <c r="H2" s="120" t="s">
        <v>26</v>
      </c>
      <c r="I2" s="121" t="s">
        <v>27</v>
      </c>
      <c r="J2" s="120" t="s">
        <v>28</v>
      </c>
      <c r="K2" s="121" t="s">
        <v>29</v>
      </c>
      <c r="L2" s="120" t="s">
        <v>30</v>
      </c>
      <c r="M2" s="121" t="s">
        <v>31</v>
      </c>
      <c r="N2" s="120" t="s">
        <v>32</v>
      </c>
      <c r="O2" s="121" t="s">
        <v>33</v>
      </c>
      <c r="P2" s="120" t="s">
        <v>34</v>
      </c>
      <c r="Q2" s="121" t="s">
        <v>35</v>
      </c>
      <c r="R2" s="120" t="s">
        <v>36</v>
      </c>
      <c r="S2" s="120" t="s">
        <v>37</v>
      </c>
      <c r="T2" s="120" t="s">
        <v>25</v>
      </c>
      <c r="U2" s="125" t="s">
        <v>6</v>
      </c>
    </row>
    <row r="3" spans="1:21" ht="23.25">
      <c r="A3" s="660"/>
      <c r="B3" s="92" t="s">
        <v>8</v>
      </c>
      <c r="C3" s="101" t="s">
        <v>9</v>
      </c>
      <c r="D3" s="94" t="s">
        <v>54</v>
      </c>
      <c r="E3" s="95" t="s">
        <v>10</v>
      </c>
      <c r="F3" s="96" t="s">
        <v>11</v>
      </c>
      <c r="G3" s="95" t="s">
        <v>69</v>
      </c>
      <c r="H3" s="182"/>
      <c r="I3" s="172"/>
      <c r="J3" s="182"/>
      <c r="K3" s="172"/>
      <c r="L3" s="182"/>
      <c r="M3" s="172"/>
      <c r="N3" s="182"/>
      <c r="O3" s="172"/>
      <c r="P3" s="182"/>
      <c r="Q3" s="172"/>
      <c r="R3" s="182"/>
      <c r="S3" s="182"/>
      <c r="T3" s="95"/>
      <c r="U3" s="99" t="s">
        <v>5</v>
      </c>
    </row>
    <row r="4" spans="1:21" ht="23.25">
      <c r="A4" s="7" t="s">
        <v>47</v>
      </c>
      <c r="B4" s="279" t="s">
        <v>201</v>
      </c>
      <c r="C4" s="762">
        <f>D5+D6+D7+D8+D9+D10+D11</f>
        <v>7170755</v>
      </c>
      <c r="D4" s="763"/>
      <c r="E4" s="13"/>
      <c r="F4" s="22"/>
      <c r="G4" s="14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2" ht="23.25">
      <c r="A5" s="30" t="s">
        <v>392</v>
      </c>
      <c r="B5" s="279" t="s">
        <v>202</v>
      </c>
      <c r="C5" s="212"/>
      <c r="D5" s="58">
        <v>45855</v>
      </c>
      <c r="E5" s="58">
        <v>4000</v>
      </c>
      <c r="F5" s="52"/>
      <c r="G5" s="52">
        <f aca="true" t="shared" si="0" ref="G5:G13">+D5+E5-F5</f>
        <v>49855</v>
      </c>
      <c r="H5" s="52">
        <v>3811</v>
      </c>
      <c r="I5" s="52">
        <v>3820</v>
      </c>
      <c r="J5" s="52">
        <v>3820</v>
      </c>
      <c r="K5" s="52">
        <v>3820</v>
      </c>
      <c r="L5" s="52">
        <v>3820</v>
      </c>
      <c r="M5" s="52">
        <v>3820</v>
      </c>
      <c r="N5" s="52">
        <v>3820</v>
      </c>
      <c r="O5" s="52">
        <v>3820</v>
      </c>
      <c r="P5" s="52">
        <v>3820</v>
      </c>
      <c r="Q5" s="52">
        <v>3820</v>
      </c>
      <c r="R5" s="52">
        <v>3820</v>
      </c>
      <c r="S5" s="52">
        <f>3820+3820</f>
        <v>7640</v>
      </c>
      <c r="T5" s="135">
        <f aca="true" t="shared" si="1" ref="T5:T13">SUM(H5:S5)</f>
        <v>49651</v>
      </c>
      <c r="U5" s="135">
        <f aca="true" t="shared" si="2" ref="U5:U13">+G5-T5</f>
        <v>204</v>
      </c>
      <c r="V5" s="278"/>
    </row>
    <row r="6" spans="1:22" s="460" customFormat="1" ht="21.75" customHeight="1">
      <c r="A6" s="491" t="s">
        <v>393</v>
      </c>
      <c r="B6" s="464" t="s">
        <v>203</v>
      </c>
      <c r="C6" s="492"/>
      <c r="D6" s="493">
        <v>5077200</v>
      </c>
      <c r="E6" s="493"/>
      <c r="F6" s="494">
        <v>0</v>
      </c>
      <c r="G6" s="494">
        <f t="shared" si="0"/>
        <v>5077200</v>
      </c>
      <c r="H6" s="459">
        <v>424800</v>
      </c>
      <c r="I6" s="459">
        <v>424800</v>
      </c>
      <c r="J6" s="459">
        <v>424000</v>
      </c>
      <c r="K6" s="459">
        <v>423000</v>
      </c>
      <c r="L6" s="459">
        <v>422200</v>
      </c>
      <c r="M6" s="459">
        <v>421400</v>
      </c>
      <c r="N6" s="459">
        <v>421400</v>
      </c>
      <c r="O6" s="459">
        <v>419800</v>
      </c>
      <c r="P6" s="459">
        <v>0</v>
      </c>
      <c r="Q6" s="459">
        <f>419800+419100</f>
        <v>838900</v>
      </c>
      <c r="R6" s="459">
        <v>416100</v>
      </c>
      <c r="S6" s="459">
        <v>414500</v>
      </c>
      <c r="T6" s="447">
        <f t="shared" si="1"/>
        <v>5050900</v>
      </c>
      <c r="U6" s="447">
        <f t="shared" si="2"/>
        <v>26300</v>
      </c>
      <c r="V6" s="468"/>
    </row>
    <row r="7" spans="1:22" s="460" customFormat="1" ht="21.75" customHeight="1">
      <c r="A7" s="491" t="s">
        <v>394</v>
      </c>
      <c r="B7" s="464"/>
      <c r="C7" s="492"/>
      <c r="D7" s="493">
        <v>1574400</v>
      </c>
      <c r="E7" s="493">
        <v>0</v>
      </c>
      <c r="F7" s="494"/>
      <c r="G7" s="494">
        <f>+D7+E7-F7</f>
        <v>1574400</v>
      </c>
      <c r="H7" s="459">
        <v>119200</v>
      </c>
      <c r="I7" s="459">
        <v>119200</v>
      </c>
      <c r="J7" s="459">
        <v>120800</v>
      </c>
      <c r="K7" s="459">
        <v>120000</v>
      </c>
      <c r="L7" s="459">
        <v>120800</v>
      </c>
      <c r="M7" s="459">
        <v>121600</v>
      </c>
      <c r="N7" s="459">
        <v>121600</v>
      </c>
      <c r="O7" s="459">
        <v>120000</v>
      </c>
      <c r="P7" s="459">
        <v>0</v>
      </c>
      <c r="Q7" s="459">
        <f>120800*2</f>
        <v>241600</v>
      </c>
      <c r="R7" s="459">
        <v>120800</v>
      </c>
      <c r="S7" s="459">
        <v>121600</v>
      </c>
      <c r="T7" s="447">
        <f>SUM(H7:S7)</f>
        <v>1447200</v>
      </c>
      <c r="U7" s="447">
        <f>+G7-T7</f>
        <v>127200</v>
      </c>
      <c r="V7" s="468"/>
    </row>
    <row r="8" spans="1:22" s="460" customFormat="1" ht="21.75" customHeight="1">
      <c r="A8" s="491" t="s">
        <v>389</v>
      </c>
      <c r="B8" s="464"/>
      <c r="C8" s="492"/>
      <c r="D8" s="493">
        <v>6000</v>
      </c>
      <c r="E8" s="493"/>
      <c r="F8" s="494"/>
      <c r="G8" s="494">
        <f>+D8+E8-F8</f>
        <v>6000</v>
      </c>
      <c r="H8" s="459">
        <v>500</v>
      </c>
      <c r="I8" s="459">
        <v>500</v>
      </c>
      <c r="J8" s="459">
        <v>500</v>
      </c>
      <c r="K8" s="459">
        <v>500</v>
      </c>
      <c r="L8" s="459">
        <v>500</v>
      </c>
      <c r="M8" s="459">
        <v>500</v>
      </c>
      <c r="N8" s="459">
        <v>500</v>
      </c>
      <c r="O8" s="459">
        <v>500</v>
      </c>
      <c r="P8" s="459">
        <v>0</v>
      </c>
      <c r="Q8" s="459">
        <v>1000</v>
      </c>
      <c r="R8" s="459">
        <v>500</v>
      </c>
      <c r="S8" s="459">
        <v>500</v>
      </c>
      <c r="T8" s="447">
        <f>SUM(H8:S8)</f>
        <v>6000</v>
      </c>
      <c r="U8" s="447">
        <f>+G8-T8</f>
        <v>0</v>
      </c>
      <c r="V8" s="468"/>
    </row>
    <row r="9" spans="1:22" ht="23.25" customHeight="1">
      <c r="A9" s="30" t="s">
        <v>391</v>
      </c>
      <c r="B9" s="279" t="s">
        <v>204</v>
      </c>
      <c r="C9" s="57"/>
      <c r="D9" s="58">
        <v>250000</v>
      </c>
      <c r="E9" s="316"/>
      <c r="F9" s="52"/>
      <c r="G9" s="52">
        <f t="shared" si="0"/>
        <v>250000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3210</v>
      </c>
      <c r="P9" s="52">
        <v>0</v>
      </c>
      <c r="Q9" s="52">
        <v>0</v>
      </c>
      <c r="R9" s="52">
        <v>0</v>
      </c>
      <c r="S9" s="52">
        <v>0</v>
      </c>
      <c r="T9" s="135">
        <f t="shared" si="1"/>
        <v>3210</v>
      </c>
      <c r="U9" s="135">
        <f t="shared" si="2"/>
        <v>246790</v>
      </c>
      <c r="V9" s="278"/>
    </row>
    <row r="10" spans="1:22" ht="23.25" customHeight="1">
      <c r="A10" s="30" t="s">
        <v>390</v>
      </c>
      <c r="B10" s="279" t="s">
        <v>205</v>
      </c>
      <c r="C10" s="229"/>
      <c r="D10" s="58">
        <v>80000</v>
      </c>
      <c r="E10" s="58"/>
      <c r="F10" s="52"/>
      <c r="G10" s="52">
        <f t="shared" si="0"/>
        <v>80000</v>
      </c>
      <c r="H10" s="52">
        <v>0</v>
      </c>
      <c r="I10" s="52">
        <v>0</v>
      </c>
      <c r="J10" s="52">
        <v>0</v>
      </c>
      <c r="K10" s="52">
        <v>80000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135">
        <f t="shared" si="1"/>
        <v>80000</v>
      </c>
      <c r="U10" s="135">
        <f t="shared" si="2"/>
        <v>0</v>
      </c>
      <c r="V10" s="278"/>
    </row>
    <row r="11" spans="1:22" ht="23.25" customHeight="1">
      <c r="A11" s="30" t="s">
        <v>315</v>
      </c>
      <c r="B11" s="279" t="s">
        <v>206</v>
      </c>
      <c r="C11" s="289"/>
      <c r="D11" s="37">
        <v>137300</v>
      </c>
      <c r="E11" s="37"/>
      <c r="F11" s="52"/>
      <c r="G11" s="52">
        <f t="shared" si="0"/>
        <v>137300</v>
      </c>
      <c r="H11" s="52">
        <v>137300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135">
        <f t="shared" si="1"/>
        <v>137300</v>
      </c>
      <c r="U11" s="135">
        <f t="shared" si="2"/>
        <v>0</v>
      </c>
      <c r="V11" s="278"/>
    </row>
    <row r="12" spans="1:22" ht="24" customHeight="1">
      <c r="A12" s="30"/>
      <c r="B12" s="279"/>
      <c r="C12" s="133"/>
      <c r="D12" s="37"/>
      <c r="E12" s="37"/>
      <c r="F12" s="52"/>
      <c r="G12" s="52">
        <f t="shared" si="0"/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135">
        <f t="shared" si="1"/>
        <v>0</v>
      </c>
      <c r="U12" s="135">
        <f t="shared" si="2"/>
        <v>0</v>
      </c>
      <c r="V12" s="278"/>
    </row>
    <row r="13" spans="1:22" ht="24" thickBot="1">
      <c r="A13" s="160"/>
      <c r="B13" s="1"/>
      <c r="C13" s="1"/>
      <c r="D13" s="36"/>
      <c r="E13" s="143"/>
      <c r="F13" s="22"/>
      <c r="G13" s="91">
        <f t="shared" si="0"/>
        <v>0</v>
      </c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135">
        <f t="shared" si="1"/>
        <v>0</v>
      </c>
      <c r="U13" s="135">
        <f t="shared" si="2"/>
        <v>0</v>
      </c>
      <c r="V13" s="278"/>
    </row>
    <row r="14" spans="1:22" ht="24.75" thickBot="1" thickTop="1">
      <c r="A14" s="160"/>
      <c r="B14" s="1"/>
      <c r="C14" s="1"/>
      <c r="D14" s="36" t="s">
        <v>7</v>
      </c>
      <c r="E14" s="143"/>
      <c r="F14" s="22"/>
      <c r="G14" s="432">
        <f>G5+G6+G7+G8+G9+G10+G11</f>
        <v>7174755</v>
      </c>
      <c r="H14" s="432">
        <f aca="true" t="shared" si="3" ref="H14:U14">H5+H6+H7+H8+H9+H10+H11</f>
        <v>685611</v>
      </c>
      <c r="I14" s="432">
        <f t="shared" si="3"/>
        <v>548320</v>
      </c>
      <c r="J14" s="432">
        <f t="shared" si="3"/>
        <v>549120</v>
      </c>
      <c r="K14" s="432">
        <f t="shared" si="3"/>
        <v>627320</v>
      </c>
      <c r="L14" s="432">
        <f t="shared" si="3"/>
        <v>547320</v>
      </c>
      <c r="M14" s="432">
        <f t="shared" si="3"/>
        <v>547320</v>
      </c>
      <c r="N14" s="432">
        <f t="shared" si="3"/>
        <v>547320</v>
      </c>
      <c r="O14" s="432">
        <f t="shared" si="3"/>
        <v>547330</v>
      </c>
      <c r="P14" s="432">
        <f t="shared" si="3"/>
        <v>3820</v>
      </c>
      <c r="Q14" s="432">
        <f t="shared" si="3"/>
        <v>1085320</v>
      </c>
      <c r="R14" s="432">
        <f t="shared" si="3"/>
        <v>541220</v>
      </c>
      <c r="S14" s="432">
        <f t="shared" si="3"/>
        <v>544240</v>
      </c>
      <c r="T14" s="432">
        <f t="shared" si="3"/>
        <v>6774261</v>
      </c>
      <c r="U14" s="432">
        <f t="shared" si="3"/>
        <v>400494</v>
      </c>
      <c r="V14" s="278"/>
    </row>
    <row r="15" spans="1:21" ht="24" thickTop="1">
      <c r="A15" s="160"/>
      <c r="B15" s="1"/>
      <c r="C15" s="1"/>
      <c r="D15" s="36"/>
      <c r="E15" s="143"/>
      <c r="F15" s="22"/>
      <c r="G15" s="47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4"/>
      <c r="U15" s="214"/>
    </row>
    <row r="16" spans="1:21" ht="23.25">
      <c r="A16" s="160"/>
      <c r="B16" s="1"/>
      <c r="C16" s="1"/>
      <c r="D16" s="36"/>
      <c r="E16" s="14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"/>
      <c r="U16" s="2"/>
    </row>
    <row r="17" spans="1:21" ht="23.25">
      <c r="A17" s="105"/>
      <c r="B17" s="1"/>
      <c r="C17" s="1"/>
      <c r="D17" s="143"/>
      <c r="E17" s="143"/>
      <c r="F17" s="22"/>
      <c r="G17" s="22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15"/>
      <c r="U17" s="215"/>
    </row>
    <row r="18" spans="1:21" ht="23.25">
      <c r="A18" s="221"/>
      <c r="B18" s="1"/>
      <c r="C18" s="1"/>
      <c r="D18" s="143"/>
      <c r="E18" s="14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"/>
      <c r="U18" s="2"/>
    </row>
    <row r="19" spans="1:21" ht="23.25">
      <c r="A19" s="105"/>
      <c r="B19" s="1"/>
      <c r="C19" s="1"/>
      <c r="D19" s="143"/>
      <c r="E19" s="14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"/>
      <c r="U19" s="2"/>
    </row>
    <row r="20" spans="1:21" ht="23.25">
      <c r="A20" s="144"/>
      <c r="B20" s="144"/>
      <c r="C20" s="144"/>
      <c r="D20" s="14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"/>
      <c r="U20" s="2"/>
    </row>
    <row r="21" spans="1:21" ht="23.25">
      <c r="A21" s="216"/>
      <c r="B21" s="216"/>
      <c r="C21" s="216"/>
      <c r="D21" s="21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75" customFormat="1" ht="23.25">
      <c r="A22" s="217"/>
      <c r="B22" s="217"/>
      <c r="C22" s="217"/>
      <c r="D22" s="217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</row>
    <row r="23" spans="1:21" s="175" customFormat="1" ht="23.25">
      <c r="A23" s="217"/>
      <c r="B23" s="217"/>
      <c r="C23" s="217"/>
      <c r="D23" s="217"/>
      <c r="E23" s="218"/>
      <c r="F23" s="761">
        <f>G6+G7+G8</f>
        <v>6657600</v>
      </c>
      <c r="G23" s="761"/>
      <c r="H23" s="499">
        <f>H6+H7+H8</f>
        <v>544500</v>
      </c>
      <c r="I23" s="499">
        <f aca="true" t="shared" si="4" ref="I23:T23">I6+I7+I8</f>
        <v>544500</v>
      </c>
      <c r="J23" s="499">
        <f t="shared" si="4"/>
        <v>545300</v>
      </c>
      <c r="K23" s="499">
        <f t="shared" si="4"/>
        <v>543500</v>
      </c>
      <c r="L23" s="499">
        <f t="shared" si="4"/>
        <v>543500</v>
      </c>
      <c r="M23" s="499">
        <f t="shared" si="4"/>
        <v>543500</v>
      </c>
      <c r="N23" s="499">
        <f t="shared" si="4"/>
        <v>543500</v>
      </c>
      <c r="O23" s="499">
        <f t="shared" si="4"/>
        <v>540300</v>
      </c>
      <c r="P23" s="499">
        <f t="shared" si="4"/>
        <v>0</v>
      </c>
      <c r="Q23" s="499">
        <f t="shared" si="4"/>
        <v>1081500</v>
      </c>
      <c r="R23" s="499">
        <f t="shared" si="4"/>
        <v>537400</v>
      </c>
      <c r="S23" s="499">
        <f t="shared" si="4"/>
        <v>536600</v>
      </c>
      <c r="T23" s="499">
        <f t="shared" si="4"/>
        <v>6504100</v>
      </c>
      <c r="U23" s="218"/>
    </row>
    <row r="24" spans="1:21" ht="23.2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ht="26.25">
      <c r="A25" s="430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23.25">
      <c r="A26" s="431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39.75">
      <c r="A27" s="252"/>
      <c r="B27" s="33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ht="23.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23.2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23.2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ht="23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23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ht="23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23.2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23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23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23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23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23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23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23.2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23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23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23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23.2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23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ht="23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23.2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</sheetData>
  <sheetProtection/>
  <mergeCells count="5">
    <mergeCell ref="A2:A3"/>
    <mergeCell ref="C2:D2"/>
    <mergeCell ref="C4:D4"/>
    <mergeCell ref="A1:U1"/>
    <mergeCell ref="F23:G23"/>
  </mergeCells>
  <printOptions/>
  <pageMargins left="0.6692913385826772" right="0.15748031496062992" top="0.1968503937007874" bottom="0.1968503937007874" header="0.5118110236220472" footer="0.5118110236220472"/>
  <pageSetup horizontalDpi="300" verticalDpi="300" orientation="landscape" paperSize="5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U96"/>
  <sheetViews>
    <sheetView zoomScaleSheetLayoutView="100" zoomScalePageLayoutView="0" workbookViewId="0" topLeftCell="A1">
      <pane xSplit="7" ySplit="1" topLeftCell="K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O12" sqref="O12"/>
    </sheetView>
  </sheetViews>
  <sheetFormatPr defaultColWidth="9.140625" defaultRowHeight="23.25"/>
  <cols>
    <col min="1" max="1" width="40.7109375" style="167" customWidth="1"/>
    <col min="2" max="2" width="5.57421875" style="167" customWidth="1"/>
    <col min="3" max="3" width="3.8515625" style="167" customWidth="1"/>
    <col min="4" max="4" width="8.8515625" style="167" customWidth="1"/>
    <col min="5" max="5" width="8.57421875" style="167" bestFit="1" customWidth="1"/>
    <col min="6" max="6" width="9.00390625" style="167" bestFit="1" customWidth="1"/>
    <col min="7" max="7" width="10.140625" style="167" customWidth="1"/>
    <col min="8" max="8" width="10.28125" style="167" bestFit="1" customWidth="1"/>
    <col min="9" max="9" width="8.7109375" style="167" bestFit="1" customWidth="1"/>
    <col min="10" max="10" width="9.00390625" style="167" customWidth="1"/>
    <col min="11" max="12" width="8.28125" style="167" bestFit="1" customWidth="1"/>
    <col min="13" max="13" width="9.00390625" style="167" customWidth="1"/>
    <col min="14" max="14" width="8.7109375" style="167" bestFit="1" customWidth="1"/>
    <col min="15" max="15" width="9.00390625" style="167" customWidth="1"/>
    <col min="16" max="16" width="9.421875" style="167" customWidth="1"/>
    <col min="17" max="17" width="8.00390625" style="167" customWidth="1"/>
    <col min="18" max="18" width="8.7109375" style="167" bestFit="1" customWidth="1"/>
    <col min="19" max="19" width="8.57421875" style="167" customWidth="1"/>
    <col min="20" max="20" width="10.28125" style="167" customWidth="1"/>
    <col min="21" max="21" width="10.57421875" style="167" customWidth="1"/>
    <col min="22" max="16384" width="9.140625" style="167" customWidth="1"/>
  </cols>
  <sheetData>
    <row r="1" spans="1:21" ht="35.25" customHeight="1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</row>
    <row r="2" spans="1:21" ht="23.25">
      <c r="A2" s="723" t="s">
        <v>463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</row>
    <row r="3" spans="1:21" ht="23.25">
      <c r="A3" s="739" t="s">
        <v>490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</row>
    <row r="4" spans="1:21" ht="23.25">
      <c r="A4" s="659" t="s">
        <v>4</v>
      </c>
      <c r="B4" s="119"/>
      <c r="C4" s="715" t="s">
        <v>51</v>
      </c>
      <c r="D4" s="726"/>
      <c r="E4" s="120" t="s">
        <v>9</v>
      </c>
      <c r="F4" s="120" t="s">
        <v>9</v>
      </c>
      <c r="G4" s="121" t="s">
        <v>25</v>
      </c>
      <c r="H4" s="120" t="s">
        <v>26</v>
      </c>
      <c r="I4" s="121" t="s">
        <v>27</v>
      </c>
      <c r="J4" s="120" t="s">
        <v>28</v>
      </c>
      <c r="K4" s="121" t="s">
        <v>29</v>
      </c>
      <c r="L4" s="120" t="s">
        <v>30</v>
      </c>
      <c r="M4" s="121" t="s">
        <v>31</v>
      </c>
      <c r="N4" s="120" t="s">
        <v>32</v>
      </c>
      <c r="O4" s="121" t="s">
        <v>33</v>
      </c>
      <c r="P4" s="120" t="s">
        <v>34</v>
      </c>
      <c r="Q4" s="121" t="s">
        <v>35</v>
      </c>
      <c r="R4" s="120" t="s">
        <v>36</v>
      </c>
      <c r="S4" s="120" t="s">
        <v>37</v>
      </c>
      <c r="T4" s="120" t="s">
        <v>25</v>
      </c>
      <c r="U4" s="125" t="s">
        <v>6</v>
      </c>
    </row>
    <row r="5" spans="1:21" ht="42.75">
      <c r="A5" s="660"/>
      <c r="B5" s="92" t="s">
        <v>8</v>
      </c>
      <c r="C5" s="101" t="s">
        <v>9</v>
      </c>
      <c r="D5" s="94"/>
      <c r="E5" s="95" t="s">
        <v>10</v>
      </c>
      <c r="F5" s="95" t="s">
        <v>11</v>
      </c>
      <c r="G5" s="96"/>
      <c r="H5" s="182"/>
      <c r="I5" s="172"/>
      <c r="J5" s="182"/>
      <c r="K5" s="172"/>
      <c r="L5" s="182"/>
      <c r="M5" s="172"/>
      <c r="N5" s="182"/>
      <c r="O5" s="172"/>
      <c r="P5" s="182"/>
      <c r="Q5" s="172"/>
      <c r="R5" s="182"/>
      <c r="S5" s="182"/>
      <c r="T5" s="95"/>
      <c r="U5" s="99" t="s">
        <v>5</v>
      </c>
    </row>
    <row r="6" spans="1:21" ht="23.25">
      <c r="A6" s="105"/>
      <c r="B6" s="210"/>
      <c r="C6" s="132"/>
      <c r="D6" s="204"/>
      <c r="E6" s="89"/>
      <c r="F6" s="191"/>
      <c r="G6" s="176"/>
      <c r="H6" s="171"/>
      <c r="I6" s="171"/>
      <c r="J6" s="171"/>
      <c r="K6" s="171"/>
      <c r="L6" s="171"/>
      <c r="M6" s="171"/>
      <c r="N6" s="171"/>
      <c r="O6" s="171"/>
      <c r="P6" s="211"/>
      <c r="Q6" s="184"/>
      <c r="R6" s="184"/>
      <c r="S6" s="184"/>
      <c r="T6" s="184"/>
      <c r="U6" s="184"/>
    </row>
    <row r="7" spans="1:21" ht="23.25">
      <c r="A7" s="105"/>
      <c r="B7" s="210"/>
      <c r="C7" s="1"/>
      <c r="D7" s="36"/>
      <c r="E7" s="52"/>
      <c r="F7" s="144"/>
      <c r="G7" s="165"/>
      <c r="H7" s="52"/>
      <c r="I7" s="144"/>
      <c r="J7" s="144"/>
      <c r="K7" s="144"/>
      <c r="L7" s="144"/>
      <c r="M7" s="144"/>
      <c r="N7" s="144"/>
      <c r="O7" s="144"/>
      <c r="P7" s="22"/>
      <c r="Q7" s="52"/>
      <c r="R7" s="52"/>
      <c r="S7" s="52"/>
      <c r="T7" s="52"/>
      <c r="U7" s="52"/>
    </row>
    <row r="8" spans="1:21" ht="23.25">
      <c r="A8" s="160" t="s">
        <v>462</v>
      </c>
      <c r="B8" s="117"/>
      <c r="C8" s="1"/>
      <c r="D8" s="52">
        <v>240000</v>
      </c>
      <c r="E8" s="52"/>
      <c r="F8" s="144"/>
      <c r="G8" s="52">
        <f>+D8+E8-F8</f>
        <v>240000</v>
      </c>
      <c r="H8" s="52">
        <v>240000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135">
        <f>SUM(H8:S8)</f>
        <v>240000</v>
      </c>
      <c r="U8" s="135">
        <f>+G8-T8</f>
        <v>0</v>
      </c>
    </row>
    <row r="9" spans="1:21" ht="23.25">
      <c r="A9" s="160" t="s">
        <v>398</v>
      </c>
      <c r="B9" s="117"/>
      <c r="C9" s="1"/>
      <c r="D9" s="52">
        <v>15000</v>
      </c>
      <c r="E9" s="52"/>
      <c r="F9" s="144"/>
      <c r="G9" s="52">
        <f>+D9+E9-F9</f>
        <v>15000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15000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135">
        <f>SUM(H9:S9)</f>
        <v>15000</v>
      </c>
      <c r="U9" s="135">
        <f>+G9-T9</f>
        <v>0</v>
      </c>
    </row>
    <row r="10" spans="1:21" ht="23.25">
      <c r="A10" s="105"/>
      <c r="B10" s="117"/>
      <c r="C10" s="1"/>
      <c r="D10" s="52"/>
      <c r="E10" s="52"/>
      <c r="F10" s="144"/>
      <c r="G10" s="177"/>
      <c r="H10" s="52"/>
      <c r="I10" s="144"/>
      <c r="J10" s="144"/>
      <c r="K10" s="144"/>
      <c r="L10" s="144"/>
      <c r="M10" s="144"/>
      <c r="N10" s="144"/>
      <c r="O10" s="144"/>
      <c r="P10" s="22"/>
      <c r="Q10" s="52"/>
      <c r="R10" s="52"/>
      <c r="S10" s="52"/>
      <c r="T10" s="52"/>
      <c r="U10" s="52"/>
    </row>
    <row r="11" spans="1:21" ht="24.75" customHeight="1">
      <c r="A11" s="30"/>
      <c r="B11" s="163"/>
      <c r="C11" s="163"/>
      <c r="D11" s="36"/>
      <c r="E11" s="163"/>
      <c r="F11" s="163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135"/>
      <c r="U11" s="135"/>
    </row>
    <row r="12" spans="1:21" ht="23.25">
      <c r="A12" s="105"/>
      <c r="B12" s="144"/>
      <c r="C12" s="144"/>
      <c r="D12" s="144"/>
      <c r="E12" s="144"/>
      <c r="F12" s="144"/>
      <c r="G12" s="144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ht="23.25">
      <c r="A13" s="160"/>
      <c r="B13" s="144"/>
      <c r="C13" s="144"/>
      <c r="D13" s="36"/>
      <c r="E13" s="163"/>
      <c r="F13" s="163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135"/>
      <c r="U13" s="135"/>
    </row>
    <row r="14" spans="1:21" ht="23.25">
      <c r="A14" s="160"/>
      <c r="B14" s="144"/>
      <c r="C14" s="144"/>
      <c r="D14" s="36"/>
      <c r="E14" s="163"/>
      <c r="F14" s="16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135"/>
      <c r="U14" s="135"/>
    </row>
    <row r="15" spans="1:21" ht="23.25">
      <c r="A15" s="160"/>
      <c r="B15" s="144"/>
      <c r="C15" s="144"/>
      <c r="D15" s="36"/>
      <c r="E15" s="163"/>
      <c r="F15" s="16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135"/>
      <c r="U15" s="135"/>
    </row>
    <row r="16" spans="1:21" ht="23.25">
      <c r="A16" s="160"/>
      <c r="B16" s="144"/>
      <c r="C16" s="144"/>
      <c r="D16" s="36"/>
      <c r="E16" s="163"/>
      <c r="F16" s="163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135"/>
      <c r="U16" s="135"/>
    </row>
    <row r="17" spans="1:21" ht="23.25">
      <c r="A17" s="160"/>
      <c r="B17" s="144"/>
      <c r="C17" s="144"/>
      <c r="D17" s="36"/>
      <c r="E17" s="163"/>
      <c r="F17" s="16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135"/>
      <c r="U17" s="135"/>
    </row>
    <row r="18" spans="1:21" ht="23.25">
      <c r="A18" s="160"/>
      <c r="B18" s="144"/>
      <c r="C18" s="144"/>
      <c r="D18" s="36"/>
      <c r="E18" s="163"/>
      <c r="F18" s="16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35"/>
      <c r="U18" s="135"/>
    </row>
    <row r="19" spans="1:21" ht="23.25">
      <c r="A19" s="160"/>
      <c r="B19" s="144"/>
      <c r="C19" s="144"/>
      <c r="D19" s="36"/>
      <c r="E19" s="163"/>
      <c r="F19" s="163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35"/>
      <c r="U19" s="135"/>
    </row>
    <row r="20" spans="1:21" ht="23.25">
      <c r="A20" s="105"/>
      <c r="B20" s="144"/>
      <c r="C20" s="144"/>
      <c r="D20" s="36"/>
      <c r="E20" s="163"/>
      <c r="F20" s="163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135"/>
      <c r="U20" s="135"/>
    </row>
    <row r="21" spans="1:21" ht="23.25">
      <c r="A21" s="20"/>
      <c r="B21" s="144"/>
      <c r="C21" s="144"/>
      <c r="D21" s="36"/>
      <c r="E21" s="163"/>
      <c r="F21" s="16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35"/>
      <c r="U21" s="135"/>
    </row>
    <row r="22" spans="1:21" ht="23.25">
      <c r="A22" s="20"/>
      <c r="B22" s="163"/>
      <c r="C22" s="163"/>
      <c r="D22" s="36"/>
      <c r="E22" s="163"/>
      <c r="F22" s="16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35"/>
      <c r="U22" s="135"/>
    </row>
    <row r="23" spans="1:21" ht="23.25">
      <c r="A23" s="20"/>
      <c r="B23" s="163"/>
      <c r="C23" s="163"/>
      <c r="D23" s="36"/>
      <c r="E23" s="163"/>
      <c r="F23" s="163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35"/>
      <c r="U23" s="135"/>
    </row>
    <row r="24" spans="1:21" ht="24" thickBot="1">
      <c r="A24" s="20"/>
      <c r="B24" s="163"/>
      <c r="C24" s="163"/>
      <c r="D24" s="36"/>
      <c r="E24" s="163"/>
      <c r="F24" s="16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35"/>
      <c r="U24" s="135"/>
    </row>
    <row r="25" spans="1:21" ht="24.75" thickBot="1" thickTop="1">
      <c r="A25" s="163"/>
      <c r="B25" s="163"/>
      <c r="C25" s="163"/>
      <c r="D25" s="36" t="s">
        <v>7</v>
      </c>
      <c r="E25" s="143"/>
      <c r="F25" s="22"/>
      <c r="G25" s="213">
        <f>SUM(G6:G24)</f>
        <v>255000</v>
      </c>
      <c r="H25" s="213">
        <f aca="true" t="shared" si="0" ref="H25:U25">SUM(H6:H24)</f>
        <v>240000</v>
      </c>
      <c r="I25" s="213">
        <f t="shared" si="0"/>
        <v>0</v>
      </c>
      <c r="J25" s="213">
        <f t="shared" si="0"/>
        <v>0</v>
      </c>
      <c r="K25" s="213">
        <f t="shared" si="0"/>
        <v>0</v>
      </c>
      <c r="L25" s="213">
        <f t="shared" si="0"/>
        <v>0</v>
      </c>
      <c r="M25" s="213">
        <f t="shared" si="0"/>
        <v>0</v>
      </c>
      <c r="N25" s="213">
        <f t="shared" si="0"/>
        <v>15000</v>
      </c>
      <c r="O25" s="213">
        <f t="shared" si="0"/>
        <v>0</v>
      </c>
      <c r="P25" s="213">
        <f t="shared" si="0"/>
        <v>0</v>
      </c>
      <c r="Q25" s="213">
        <f t="shared" si="0"/>
        <v>0</v>
      </c>
      <c r="R25" s="213">
        <f t="shared" si="0"/>
        <v>0</v>
      </c>
      <c r="S25" s="213">
        <f t="shared" si="0"/>
        <v>0</v>
      </c>
      <c r="T25" s="213">
        <f t="shared" si="0"/>
        <v>255000</v>
      </c>
      <c r="U25" s="213">
        <f t="shared" si="0"/>
        <v>0</v>
      </c>
    </row>
    <row r="26" spans="1:21" ht="24" thickTop="1">
      <c r="A26" s="175"/>
      <c r="B26" s="175"/>
      <c r="C26" s="175"/>
      <c r="D26" s="118"/>
      <c r="E26" s="309"/>
      <c r="F26" s="169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</row>
    <row r="27" spans="1:21" ht="23.25">
      <c r="A27" s="175"/>
      <c r="B27" s="175"/>
      <c r="C27" s="175"/>
      <c r="D27" s="118"/>
      <c r="E27" s="309"/>
      <c r="F27" s="169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</row>
    <row r="28" spans="1:21" ht="23.25">
      <c r="A28" s="175"/>
      <c r="B28" s="175"/>
      <c r="C28" s="175"/>
      <c r="D28" s="118"/>
      <c r="E28" s="309"/>
      <c r="F28" s="169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</row>
    <row r="29" spans="1:21" ht="23.25">
      <c r="A29" s="720"/>
      <c r="B29" s="720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</row>
    <row r="30" spans="1:21" ht="23.25">
      <c r="A30" s="723" t="s">
        <v>316</v>
      </c>
      <c r="B30" s="723"/>
      <c r="C30" s="723"/>
      <c r="D30" s="723"/>
      <c r="E30" s="723"/>
      <c r="F30" s="723"/>
      <c r="G30" s="723"/>
      <c r="H30" s="723"/>
      <c r="I30" s="723"/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</row>
    <row r="31" spans="1:21" ht="23.25">
      <c r="A31" s="739" t="s">
        <v>304</v>
      </c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</row>
    <row r="32" spans="1:21" ht="23.25">
      <c r="A32" s="659" t="s">
        <v>4</v>
      </c>
      <c r="B32" s="119"/>
      <c r="C32" s="715" t="s">
        <v>51</v>
      </c>
      <c r="D32" s="726"/>
      <c r="E32" s="120" t="s">
        <v>9</v>
      </c>
      <c r="F32" s="120" t="s">
        <v>9</v>
      </c>
      <c r="G32" s="121" t="s">
        <v>25</v>
      </c>
      <c r="H32" s="120" t="s">
        <v>26</v>
      </c>
      <c r="I32" s="121" t="s">
        <v>27</v>
      </c>
      <c r="J32" s="120" t="s">
        <v>28</v>
      </c>
      <c r="K32" s="121" t="s">
        <v>29</v>
      </c>
      <c r="L32" s="120" t="s">
        <v>30</v>
      </c>
      <c r="M32" s="121" t="s">
        <v>31</v>
      </c>
      <c r="N32" s="120" t="s">
        <v>32</v>
      </c>
      <c r="O32" s="121" t="s">
        <v>33</v>
      </c>
      <c r="P32" s="120" t="s">
        <v>34</v>
      </c>
      <c r="Q32" s="121" t="s">
        <v>35</v>
      </c>
      <c r="R32" s="120" t="s">
        <v>36</v>
      </c>
      <c r="S32" s="120" t="s">
        <v>37</v>
      </c>
      <c r="T32" s="120" t="s">
        <v>25</v>
      </c>
      <c r="U32" s="125" t="s">
        <v>6</v>
      </c>
    </row>
    <row r="33" spans="1:21" ht="42.75">
      <c r="A33" s="660"/>
      <c r="B33" s="92" t="s">
        <v>8</v>
      </c>
      <c r="C33" s="101" t="s">
        <v>9</v>
      </c>
      <c r="D33" s="94"/>
      <c r="E33" s="95" t="s">
        <v>10</v>
      </c>
      <c r="F33" s="95" t="s">
        <v>11</v>
      </c>
      <c r="G33" s="96"/>
      <c r="H33" s="182"/>
      <c r="I33" s="172"/>
      <c r="J33" s="182"/>
      <c r="K33" s="172"/>
      <c r="L33" s="182"/>
      <c r="M33" s="172"/>
      <c r="N33" s="182"/>
      <c r="O33" s="172"/>
      <c r="P33" s="182"/>
      <c r="Q33" s="172"/>
      <c r="R33" s="182"/>
      <c r="S33" s="182"/>
      <c r="T33" s="95"/>
      <c r="U33" s="99" t="s">
        <v>5</v>
      </c>
    </row>
    <row r="34" spans="1:21" ht="23.25">
      <c r="A34" s="105" t="s">
        <v>40</v>
      </c>
      <c r="B34" s="210"/>
      <c r="C34" s="132"/>
      <c r="D34" s="204"/>
      <c r="E34" s="89"/>
      <c r="F34" s="191"/>
      <c r="G34" s="176"/>
      <c r="H34" s="171"/>
      <c r="I34" s="171"/>
      <c r="J34" s="171"/>
      <c r="K34" s="171"/>
      <c r="L34" s="171"/>
      <c r="M34" s="171"/>
      <c r="N34" s="171"/>
      <c r="O34" s="171"/>
      <c r="P34" s="211"/>
      <c r="Q34" s="184"/>
      <c r="R34" s="184"/>
      <c r="S34" s="184"/>
      <c r="T34" s="184"/>
      <c r="U34" s="184"/>
    </row>
    <row r="35" spans="1:21" ht="23.25">
      <c r="A35" s="160" t="s">
        <v>327</v>
      </c>
      <c r="B35" s="117"/>
      <c r="C35" s="1"/>
      <c r="D35" s="52">
        <v>590000</v>
      </c>
      <c r="E35" s="52"/>
      <c r="F35" s="144"/>
      <c r="G35" s="52">
        <f>+D35+E35-F35</f>
        <v>590000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590000</v>
      </c>
      <c r="S35" s="52">
        <v>0</v>
      </c>
      <c r="T35" s="135">
        <f>SUM(H35:S35)</f>
        <v>590000</v>
      </c>
      <c r="U35" s="135">
        <f>+G35-T35</f>
        <v>0</v>
      </c>
    </row>
    <row r="36" spans="1:21" ht="23.25">
      <c r="A36" s="160"/>
      <c r="B36" s="163"/>
      <c r="C36" s="163"/>
      <c r="D36" s="36"/>
      <c r="E36" s="163"/>
      <c r="F36" s="163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135"/>
      <c r="U36" s="135"/>
    </row>
    <row r="37" spans="1:21" ht="23.25">
      <c r="A37" s="160"/>
      <c r="B37" s="144"/>
      <c r="C37" s="144"/>
      <c r="D37" s="52"/>
      <c r="E37" s="144"/>
      <c r="F37" s="144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35"/>
      <c r="U37" s="135"/>
    </row>
    <row r="38" spans="1:21" ht="23.25">
      <c r="A38" s="160"/>
      <c r="B38" s="144"/>
      <c r="C38" s="144"/>
      <c r="D38" s="52"/>
      <c r="E38" s="52"/>
      <c r="F38" s="52"/>
      <c r="G38" s="52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135"/>
      <c r="U38" s="135"/>
    </row>
    <row r="39" spans="1:21" ht="23.25">
      <c r="A39" s="160"/>
      <c r="B39" s="144"/>
      <c r="C39" s="144"/>
      <c r="D39" s="52"/>
      <c r="E39" s="52"/>
      <c r="F39" s="52"/>
      <c r="G39" s="52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135"/>
      <c r="U39" s="135"/>
    </row>
    <row r="40" spans="1:21" ht="23.25">
      <c r="A40" s="105"/>
      <c r="B40" s="144"/>
      <c r="C40" s="144"/>
      <c r="D40" s="144"/>
      <c r="E40" s="144"/>
      <c r="F40" s="144"/>
      <c r="G40" s="144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</row>
    <row r="41" spans="1:21" ht="23.25">
      <c r="A41" s="105"/>
      <c r="B41" s="144"/>
      <c r="C41" s="144"/>
      <c r="D41" s="144"/>
      <c r="E41" s="144"/>
      <c r="F41" s="144"/>
      <c r="G41" s="144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</row>
    <row r="42" spans="1:21" ht="23.25">
      <c r="A42" s="10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ht="23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ht="23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</row>
    <row r="45" spans="1:21" ht="23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 ht="23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 ht="24" thickBot="1">
      <c r="A47" s="163"/>
      <c r="B47" s="163"/>
      <c r="C47" s="163"/>
      <c r="D47" s="257"/>
      <c r="E47" s="259"/>
      <c r="F47" s="260"/>
      <c r="G47" s="26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58"/>
      <c r="U47" s="258"/>
    </row>
    <row r="48" spans="1:21" ht="24.75" thickBot="1" thickTop="1">
      <c r="A48" s="163"/>
      <c r="B48" s="163"/>
      <c r="C48" s="163"/>
      <c r="D48" s="36" t="s">
        <v>7</v>
      </c>
      <c r="E48" s="143"/>
      <c r="F48" s="22"/>
      <c r="G48" s="213">
        <f aca="true" t="shared" si="1" ref="G48:U48">SUM(G34:G47)</f>
        <v>590000</v>
      </c>
      <c r="H48" s="213">
        <f t="shared" si="1"/>
        <v>0</v>
      </c>
      <c r="I48" s="213">
        <f t="shared" si="1"/>
        <v>0</v>
      </c>
      <c r="J48" s="213">
        <f t="shared" si="1"/>
        <v>0</v>
      </c>
      <c r="K48" s="213">
        <f t="shared" si="1"/>
        <v>0</v>
      </c>
      <c r="L48" s="213">
        <f t="shared" si="1"/>
        <v>0</v>
      </c>
      <c r="M48" s="213">
        <f t="shared" si="1"/>
        <v>0</v>
      </c>
      <c r="N48" s="213">
        <f t="shared" si="1"/>
        <v>0</v>
      </c>
      <c r="O48" s="213">
        <f t="shared" si="1"/>
        <v>0</v>
      </c>
      <c r="P48" s="213">
        <f t="shared" si="1"/>
        <v>0</v>
      </c>
      <c r="Q48" s="213">
        <f t="shared" si="1"/>
        <v>0</v>
      </c>
      <c r="R48" s="213">
        <f t="shared" si="1"/>
        <v>590000</v>
      </c>
      <c r="S48" s="213">
        <f t="shared" si="1"/>
        <v>0</v>
      </c>
      <c r="T48" s="213">
        <f t="shared" si="1"/>
        <v>590000</v>
      </c>
      <c r="U48" s="213">
        <f t="shared" si="1"/>
        <v>0</v>
      </c>
    </row>
    <row r="49" spans="1:21" ht="24" thickTop="1">
      <c r="A49" s="175"/>
      <c r="B49" s="175"/>
      <c r="C49" s="175"/>
      <c r="D49" s="118"/>
      <c r="E49" s="309"/>
      <c r="F49" s="169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</row>
    <row r="50" spans="1:21" ht="23.25">
      <c r="A50" s="175"/>
      <c r="B50" s="175"/>
      <c r="C50" s="175"/>
      <c r="D50" s="118"/>
      <c r="E50" s="309"/>
      <c r="F50" s="169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</row>
    <row r="51" spans="1:21" ht="23.25">
      <c r="A51" s="175"/>
      <c r="B51" s="175"/>
      <c r="C51" s="175"/>
      <c r="D51" s="118"/>
      <c r="E51" s="309"/>
      <c r="F51" s="169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</row>
    <row r="52" spans="1:21" ht="23.25">
      <c r="A52" s="175"/>
      <c r="B52" s="175"/>
      <c r="C52" s="175"/>
      <c r="D52" s="118"/>
      <c r="E52" s="309"/>
      <c r="F52" s="169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</row>
    <row r="53" spans="1:21" ht="23.25">
      <c r="A53" s="175"/>
      <c r="B53" s="175"/>
      <c r="C53" s="175"/>
      <c r="D53" s="118"/>
      <c r="E53" s="309"/>
      <c r="F53" s="169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</row>
    <row r="54" spans="1:21" ht="23.25">
      <c r="A54" s="175"/>
      <c r="B54" s="175"/>
      <c r="C54" s="175"/>
      <c r="D54" s="118"/>
      <c r="E54" s="309"/>
      <c r="F54" s="169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</row>
    <row r="55" spans="1:21" ht="23.25">
      <c r="A55" s="175"/>
      <c r="B55" s="175"/>
      <c r="C55" s="175"/>
      <c r="D55" s="118"/>
      <c r="E55" s="309"/>
      <c r="F55" s="169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</row>
    <row r="56" spans="1:21" ht="23.25">
      <c r="A56" s="175"/>
      <c r="B56" s="175"/>
      <c r="C56" s="175"/>
      <c r="D56" s="118"/>
      <c r="E56" s="309"/>
      <c r="F56" s="169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</row>
    <row r="57" spans="1:21" ht="23.25">
      <c r="A57" s="175"/>
      <c r="B57" s="175"/>
      <c r="C57" s="175"/>
      <c r="D57" s="118"/>
      <c r="E57" s="309"/>
      <c r="F57" s="169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</row>
    <row r="58" spans="1:21" ht="23.25">
      <c r="A58" s="175"/>
      <c r="B58" s="175"/>
      <c r="C58" s="175"/>
      <c r="D58" s="118"/>
      <c r="E58" s="309"/>
      <c r="F58" s="169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</row>
    <row r="59" spans="1:21" ht="23.25">
      <c r="A59" s="175"/>
      <c r="B59" s="175"/>
      <c r="C59" s="175"/>
      <c r="D59" s="118"/>
      <c r="E59" s="309"/>
      <c r="F59" s="169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</row>
    <row r="60" spans="1:21" ht="23.25">
      <c r="A60" s="175"/>
      <c r="B60" s="175"/>
      <c r="C60" s="175"/>
      <c r="D60" s="118"/>
      <c r="E60" s="309"/>
      <c r="F60" s="169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</row>
    <row r="61" spans="1:21" ht="23.25">
      <c r="A61" s="175"/>
      <c r="B61" s="175"/>
      <c r="C61" s="175"/>
      <c r="D61" s="118"/>
      <c r="E61" s="309"/>
      <c r="F61" s="169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</row>
    <row r="62" spans="1:21" ht="23.25">
      <c r="A62" s="175"/>
      <c r="B62" s="175"/>
      <c r="C62" s="175"/>
      <c r="D62" s="118"/>
      <c r="E62" s="309"/>
      <c r="F62" s="169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</row>
    <row r="63" spans="1:21" ht="23.25">
      <c r="A63" s="175"/>
      <c r="B63" s="175"/>
      <c r="C63" s="175"/>
      <c r="D63" s="118"/>
      <c r="E63" s="309"/>
      <c r="F63" s="169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</row>
    <row r="64" spans="1:21" ht="23.25">
      <c r="A64" s="175"/>
      <c r="B64" s="175"/>
      <c r="C64" s="175"/>
      <c r="D64" s="118"/>
      <c r="E64" s="309"/>
      <c r="F64" s="169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</row>
    <row r="65" spans="1:21" ht="23.25">
      <c r="A65" s="175"/>
      <c r="B65" s="175"/>
      <c r="C65" s="175"/>
      <c r="D65" s="118"/>
      <c r="E65" s="309"/>
      <c r="F65" s="169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</row>
    <row r="66" spans="1:21" ht="23.25">
      <c r="A66" s="175"/>
      <c r="B66" s="175"/>
      <c r="C66" s="175"/>
      <c r="D66" s="118"/>
      <c r="E66" s="309"/>
      <c r="F66" s="169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</row>
    <row r="67" spans="1:21" ht="23.25">
      <c r="A67" s="175"/>
      <c r="B67" s="175"/>
      <c r="C67" s="175"/>
      <c r="D67" s="118"/>
      <c r="E67" s="309"/>
      <c r="F67" s="169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</row>
    <row r="68" spans="1:21" ht="23.25">
      <c r="A68" s="175"/>
      <c r="B68" s="175"/>
      <c r="C68" s="175"/>
      <c r="D68" s="118"/>
      <c r="E68" s="309"/>
      <c r="F68" s="169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</row>
    <row r="69" spans="1:21" ht="23.25">
      <c r="A69" s="175"/>
      <c r="B69" s="175"/>
      <c r="C69" s="175"/>
      <c r="D69" s="118"/>
      <c r="E69" s="309"/>
      <c r="F69" s="169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</row>
    <row r="70" spans="1:21" ht="23.25">
      <c r="A70" s="175"/>
      <c r="B70" s="175"/>
      <c r="C70" s="175"/>
      <c r="D70" s="118"/>
      <c r="E70" s="309"/>
      <c r="F70" s="169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</row>
    <row r="71" spans="1:21" ht="23.25">
      <c r="A71" s="175"/>
      <c r="B71" s="175"/>
      <c r="C71" s="175"/>
      <c r="D71" s="118"/>
      <c r="E71" s="309"/>
      <c r="F71" s="169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</row>
    <row r="72" spans="1:21" ht="23.25">
      <c r="A72" s="175"/>
      <c r="B72" s="175"/>
      <c r="C72" s="175"/>
      <c r="D72" s="118"/>
      <c r="E72" s="309"/>
      <c r="F72" s="169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</row>
    <row r="73" spans="1:21" ht="23.25">
      <c r="A73" s="175"/>
      <c r="B73" s="175"/>
      <c r="C73" s="175"/>
      <c r="D73" s="118"/>
      <c r="E73" s="309"/>
      <c r="F73" s="169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</row>
    <row r="74" spans="1:21" ht="23.25">
      <c r="A74" s="175"/>
      <c r="B74" s="175"/>
      <c r="C74" s="175"/>
      <c r="D74" s="118"/>
      <c r="E74" s="309"/>
      <c r="F74" s="169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</row>
    <row r="75" spans="1:21" ht="23.25">
      <c r="A75" s="175"/>
      <c r="B75" s="175"/>
      <c r="C75" s="175"/>
      <c r="D75" s="118"/>
      <c r="E75" s="309"/>
      <c r="F75" s="169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</row>
    <row r="76" spans="1:21" ht="23.25">
      <c r="A76" s="175"/>
      <c r="B76" s="175"/>
      <c r="C76" s="175"/>
      <c r="D76" s="118"/>
      <c r="E76" s="309"/>
      <c r="F76" s="169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</row>
    <row r="77" spans="1:21" ht="23.25">
      <c r="A77" s="175"/>
      <c r="B77" s="175"/>
      <c r="C77" s="175"/>
      <c r="D77" s="118"/>
      <c r="E77" s="309"/>
      <c r="F77" s="169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</row>
    <row r="78" spans="1:21" ht="23.25">
      <c r="A78" s="175"/>
      <c r="B78" s="175"/>
      <c r="C78" s="175"/>
      <c r="D78" s="118"/>
      <c r="E78" s="309"/>
      <c r="F78" s="169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</row>
    <row r="79" spans="1:21" ht="23.25">
      <c r="A79" s="175"/>
      <c r="B79" s="175"/>
      <c r="C79" s="175"/>
      <c r="D79" s="118"/>
      <c r="E79" s="309"/>
      <c r="F79" s="169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</row>
    <row r="80" spans="1:21" ht="23.25">
      <c r="A80" s="175"/>
      <c r="B80" s="175"/>
      <c r="C80" s="175"/>
      <c r="D80" s="118"/>
      <c r="E80" s="309"/>
      <c r="F80" s="169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</row>
    <row r="81" spans="1:21" ht="23.25">
      <c r="A81" s="175"/>
      <c r="B81" s="175"/>
      <c r="C81" s="175"/>
      <c r="D81" s="118"/>
      <c r="E81" s="309"/>
      <c r="F81" s="169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</row>
    <row r="82" spans="1:21" ht="23.25">
      <c r="A82" s="175"/>
      <c r="B82" s="175"/>
      <c r="C82" s="175"/>
      <c r="D82" s="118"/>
      <c r="E82" s="309"/>
      <c r="F82" s="169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</row>
    <row r="83" spans="1:21" ht="23.25">
      <c r="A83" s="175"/>
      <c r="B83" s="175"/>
      <c r="C83" s="175"/>
      <c r="D83" s="118"/>
      <c r="E83" s="309"/>
      <c r="F83" s="169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</row>
    <row r="84" spans="1:21" ht="23.25">
      <c r="A84" s="175"/>
      <c r="B84" s="175"/>
      <c r="C84" s="175"/>
      <c r="D84" s="118"/>
      <c r="E84" s="309"/>
      <c r="F84" s="169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</row>
    <row r="85" spans="1:21" ht="23.25">
      <c r="A85" s="175"/>
      <c r="B85" s="175"/>
      <c r="C85" s="175"/>
      <c r="D85" s="118"/>
      <c r="E85" s="309"/>
      <c r="F85" s="169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</row>
    <row r="86" spans="1:21" ht="23.25">
      <c r="A86" s="175"/>
      <c r="B86" s="175"/>
      <c r="C86" s="175"/>
      <c r="D86" s="118"/>
      <c r="E86" s="309"/>
      <c r="F86" s="169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</row>
    <row r="87" spans="1:21" ht="23.25">
      <c r="A87" s="175"/>
      <c r="B87" s="175"/>
      <c r="C87" s="175"/>
      <c r="D87" s="118"/>
      <c r="E87" s="309"/>
      <c r="F87" s="169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</row>
    <row r="88" spans="1:21" ht="23.25">
      <c r="A88" s="175"/>
      <c r="B88" s="175"/>
      <c r="C88" s="175"/>
      <c r="D88" s="118"/>
      <c r="E88" s="309"/>
      <c r="F88" s="169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</row>
    <row r="89" spans="1:21" ht="23.25">
      <c r="A89" s="175"/>
      <c r="B89" s="175"/>
      <c r="C89" s="175"/>
      <c r="D89" s="118"/>
      <c r="E89" s="309"/>
      <c r="F89" s="169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</row>
    <row r="90" spans="1:21" ht="23.25">
      <c r="A90" s="175"/>
      <c r="B90" s="175"/>
      <c r="C90" s="175"/>
      <c r="D90" s="118"/>
      <c r="E90" s="309"/>
      <c r="F90" s="169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</row>
    <row r="91" spans="1:21" ht="23.25">
      <c r="A91" s="175"/>
      <c r="B91" s="175"/>
      <c r="C91" s="175"/>
      <c r="D91" s="118"/>
      <c r="E91" s="309"/>
      <c r="F91" s="169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12"/>
      <c r="S91" s="312"/>
      <c r="T91" s="312"/>
      <c r="U91" s="312"/>
    </row>
    <row r="92" ht="23.25">
      <c r="G92" s="306"/>
    </row>
    <row r="95" ht="39.75">
      <c r="A95" s="252"/>
    </row>
    <row r="96" ht="39.75">
      <c r="A96" s="252"/>
    </row>
  </sheetData>
  <sheetProtection/>
  <mergeCells count="10">
    <mergeCell ref="A1:U1"/>
    <mergeCell ref="A2:U2"/>
    <mergeCell ref="A29:U29"/>
    <mergeCell ref="A30:U30"/>
    <mergeCell ref="A31:U31"/>
    <mergeCell ref="A32:A33"/>
    <mergeCell ref="C32:D32"/>
    <mergeCell ref="A3:U3"/>
    <mergeCell ref="A4:A5"/>
    <mergeCell ref="C4:D4"/>
  </mergeCells>
  <printOptions/>
  <pageMargins left="0.4724409448818898" right="0.15748031496062992" top="0.4330708661417323" bottom="0.1968503937007874" header="0.9448818897637796" footer="0.5118110236220472"/>
  <pageSetup horizontalDpi="600" verticalDpi="600" orientation="landscape" paperSize="5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3"/>
  <sheetViews>
    <sheetView zoomScaleSheetLayoutView="100" zoomScalePageLayoutView="0" workbookViewId="0" topLeftCell="A16">
      <selection activeCell="F10" sqref="F10"/>
    </sheetView>
  </sheetViews>
  <sheetFormatPr defaultColWidth="9.140625" defaultRowHeight="23.25"/>
  <cols>
    <col min="1" max="1" width="69.8515625" style="3" customWidth="1"/>
    <col min="2" max="2" width="17.8515625" style="3" customWidth="1"/>
    <col min="3" max="4" width="17.8515625" style="167" customWidth="1"/>
    <col min="5" max="16384" width="9.140625" style="3" customWidth="1"/>
  </cols>
  <sheetData>
    <row r="1" spans="1:4" ht="21" customHeight="1">
      <c r="A1" s="655" t="s">
        <v>552</v>
      </c>
      <c r="B1" s="655"/>
      <c r="C1" s="655"/>
      <c r="D1" s="655"/>
    </row>
    <row r="2" spans="1:4" ht="21" customHeight="1">
      <c r="A2" s="655" t="s">
        <v>579</v>
      </c>
      <c r="B2" s="655"/>
      <c r="C2" s="655"/>
      <c r="D2" s="655"/>
    </row>
    <row r="3" spans="1:4" ht="21" customHeight="1">
      <c r="A3" s="655" t="s">
        <v>586</v>
      </c>
      <c r="B3" s="655"/>
      <c r="C3" s="655"/>
      <c r="D3" s="655"/>
    </row>
    <row r="4" spans="1:4" ht="18" customHeight="1">
      <c r="A4" s="656" t="s">
        <v>4</v>
      </c>
      <c r="B4" s="518" t="s">
        <v>531</v>
      </c>
      <c r="C4" s="518" t="s">
        <v>532</v>
      </c>
      <c r="D4" s="518" t="s">
        <v>6</v>
      </c>
    </row>
    <row r="5" spans="1:4" ht="14.25" customHeight="1">
      <c r="A5" s="657"/>
      <c r="B5" s="521"/>
      <c r="C5" s="521" t="s">
        <v>533</v>
      </c>
      <c r="D5" s="521" t="s">
        <v>5</v>
      </c>
    </row>
    <row r="6" spans="1:4" ht="23.25">
      <c r="A6" s="638" t="s">
        <v>467</v>
      </c>
      <c r="B6" s="576"/>
      <c r="C6" s="606"/>
      <c r="D6" s="606"/>
    </row>
    <row r="7" spans="1:4" ht="23.25">
      <c r="A7" s="639" t="s">
        <v>84</v>
      </c>
      <c r="B7" s="576"/>
      <c r="C7" s="606"/>
      <c r="D7" s="606"/>
    </row>
    <row r="8" spans="1:4" ht="23.25">
      <c r="A8" s="639" t="s">
        <v>581</v>
      </c>
      <c r="B8" s="640"/>
      <c r="C8" s="180"/>
      <c r="D8" s="180"/>
    </row>
    <row r="9" spans="1:5" ht="23.25">
      <c r="A9" s="641" t="s">
        <v>469</v>
      </c>
      <c r="B9" s="640">
        <v>95000</v>
      </c>
      <c r="C9" s="180">
        <f>'จ่ายขาดเงินสะสม (2)'!T8</f>
        <v>60000</v>
      </c>
      <c r="D9" s="180">
        <f>'จ่ายขาดเงินสะสม (2)'!U8</f>
        <v>35000</v>
      </c>
      <c r="E9" s="542"/>
    </row>
    <row r="10" spans="1:5" ht="23.25">
      <c r="A10" s="641" t="s">
        <v>470</v>
      </c>
      <c r="B10" s="640">
        <v>300000</v>
      </c>
      <c r="C10" s="180">
        <f>'จ่ายขาดเงินสะสม (2)'!T9</f>
        <v>0</v>
      </c>
      <c r="D10" s="180">
        <f>'จ่ายขาดเงินสะสม (2)'!U9</f>
        <v>300000</v>
      </c>
      <c r="E10" s="542"/>
    </row>
    <row r="11" spans="1:5" ht="23.25">
      <c r="A11" s="641" t="s">
        <v>471</v>
      </c>
      <c r="B11" s="640">
        <v>50000</v>
      </c>
      <c r="C11" s="180">
        <f>'จ่ายขาดเงินสะสม (2)'!T10</f>
        <v>0</v>
      </c>
      <c r="D11" s="180">
        <f>'จ่ายขาดเงินสะสม (2)'!U10</f>
        <v>50000</v>
      </c>
      <c r="E11" s="542"/>
    </row>
    <row r="12" spans="1:4" ht="23.25">
      <c r="A12" s="641" t="s">
        <v>472</v>
      </c>
      <c r="B12" s="640">
        <v>115000</v>
      </c>
      <c r="C12" s="180">
        <f>'จ่ายขาดเงินสะสม (2)'!T11</f>
        <v>104000</v>
      </c>
      <c r="D12" s="180">
        <f>'จ่ายขาดเงินสะสม (2)'!U11</f>
        <v>11000</v>
      </c>
    </row>
    <row r="13" spans="1:4" ht="23.25">
      <c r="A13" s="641" t="s">
        <v>473</v>
      </c>
      <c r="B13" s="640">
        <v>300000</v>
      </c>
      <c r="C13" s="180">
        <f>'จ่ายขาดเงินสะสม (2)'!T12</f>
        <v>0</v>
      </c>
      <c r="D13" s="180">
        <f>'จ่ายขาดเงินสะสม (2)'!U12</f>
        <v>300000</v>
      </c>
    </row>
    <row r="14" spans="1:4" ht="23.25">
      <c r="A14" s="641" t="s">
        <v>474</v>
      </c>
      <c r="B14" s="640">
        <v>100000</v>
      </c>
      <c r="C14" s="180">
        <f>'จ่ายขาดเงินสะสม (2)'!T13</f>
        <v>0</v>
      </c>
      <c r="D14" s="180">
        <f>'จ่ายขาดเงินสะสม (2)'!U13</f>
        <v>100000</v>
      </c>
    </row>
    <row r="15" spans="1:4" ht="23.25">
      <c r="A15" s="641" t="s">
        <v>475</v>
      </c>
      <c r="B15" s="640">
        <v>5000000</v>
      </c>
      <c r="C15" s="180">
        <f>'จ่ายขาดเงินสะสม (2)'!T14</f>
        <v>0</v>
      </c>
      <c r="D15" s="180">
        <f>'จ่ายขาดเงินสะสม (2)'!U14</f>
        <v>5000000</v>
      </c>
    </row>
    <row r="16" spans="1:4" ht="23.25">
      <c r="A16" s="641"/>
      <c r="B16" s="640"/>
      <c r="C16" s="180"/>
      <c r="D16" s="180"/>
    </row>
    <row r="17" spans="1:4" ht="23.25">
      <c r="A17" s="639" t="s">
        <v>581</v>
      </c>
      <c r="B17" s="640"/>
      <c r="C17" s="180">
        <f>'จ่ายขาดเงินสะสม (2)'!T16</f>
        <v>0</v>
      </c>
      <c r="D17" s="180">
        <f>'จ่ายขาดเงินสะสม (2)'!U16</f>
        <v>0</v>
      </c>
    </row>
    <row r="18" spans="1:4" ht="23.25">
      <c r="A18" s="641" t="s">
        <v>476</v>
      </c>
      <c r="B18" s="640">
        <v>50000</v>
      </c>
      <c r="C18" s="180">
        <f>'จ่ายขาดเงินสะสม (2)'!T17</f>
        <v>47000</v>
      </c>
      <c r="D18" s="180">
        <f>'จ่ายขาดเงินสะสม (2)'!U17</f>
        <v>3000</v>
      </c>
    </row>
    <row r="19" spans="1:4" ht="23.25">
      <c r="A19" s="641" t="s">
        <v>477</v>
      </c>
      <c r="B19" s="640">
        <v>350000</v>
      </c>
      <c r="C19" s="180">
        <f>'จ่ายขาดเงินสะสม (2)'!T18</f>
        <v>0</v>
      </c>
      <c r="D19" s="180">
        <f>'จ่ายขาดเงินสะสม (2)'!U18</f>
        <v>350000</v>
      </c>
    </row>
    <row r="20" spans="1:4" ht="23.25">
      <c r="A20" s="641" t="s">
        <v>478</v>
      </c>
      <c r="B20" s="640">
        <v>100000</v>
      </c>
      <c r="C20" s="180">
        <f>'จ่ายขาดเงินสะสม (2)'!T19</f>
        <v>97000</v>
      </c>
      <c r="D20" s="180">
        <f>'จ่ายขาดเงินสะสม (2)'!U19</f>
        <v>3000</v>
      </c>
    </row>
    <row r="21" spans="1:4" ht="23.25">
      <c r="A21" s="641" t="s">
        <v>479</v>
      </c>
      <c r="B21" s="640">
        <v>25000</v>
      </c>
      <c r="C21" s="180">
        <f>'จ่ายขาดเงินสะสม (2)'!T20</f>
        <v>18000</v>
      </c>
      <c r="D21" s="180">
        <f>'จ่ายขาดเงินสะสม (2)'!U20</f>
        <v>7000</v>
      </c>
    </row>
    <row r="22" spans="1:4" ht="23.25">
      <c r="A22" s="641" t="s">
        <v>480</v>
      </c>
      <c r="B22" s="640">
        <v>55000</v>
      </c>
      <c r="C22" s="180">
        <f>'จ่ายขาดเงินสะสม (2)'!T21</f>
        <v>34000</v>
      </c>
      <c r="D22" s="180">
        <f>'จ่ายขาดเงินสะสม (2)'!U21</f>
        <v>21000</v>
      </c>
    </row>
    <row r="23" spans="1:4" ht="23.25">
      <c r="A23" s="641" t="s">
        <v>481</v>
      </c>
      <c r="B23" s="640">
        <v>600000</v>
      </c>
      <c r="C23" s="180">
        <f>'จ่ายขาดเงินสะสม (2)'!T22</f>
        <v>0</v>
      </c>
      <c r="D23" s="180">
        <f>'จ่ายขาดเงินสะสม (2)'!U22</f>
        <v>600000</v>
      </c>
    </row>
    <row r="24" spans="1:4" ht="23.25">
      <c r="A24" s="639"/>
      <c r="B24" s="640"/>
      <c r="C24" s="180"/>
      <c r="D24" s="180"/>
    </row>
    <row r="25" spans="1:4" ht="23.25">
      <c r="A25" s="4"/>
      <c r="B25" s="576"/>
      <c r="C25" s="180"/>
      <c r="D25" s="180"/>
    </row>
    <row r="26" spans="1:4" ht="24" thickBot="1">
      <c r="A26" s="4"/>
      <c r="B26" s="554">
        <f>SUM(B9:B25)</f>
        <v>7140000</v>
      </c>
      <c r="C26" s="642">
        <f>SUM(C9:C25)</f>
        <v>360000</v>
      </c>
      <c r="D26" s="642">
        <f>SUM(D9:D25)</f>
        <v>6780000</v>
      </c>
    </row>
    <row r="27" spans="1:4" ht="24" thickTop="1">
      <c r="A27" s="643"/>
      <c r="B27" s="633"/>
      <c r="C27" s="633"/>
      <c r="D27" s="633"/>
    </row>
    <row r="28" spans="1:4" ht="23.25">
      <c r="A28" s="643"/>
      <c r="B28" s="633"/>
      <c r="C28" s="633"/>
      <c r="D28" s="633"/>
    </row>
    <row r="29" spans="1:4" ht="23.25">
      <c r="A29" s="643"/>
      <c r="B29" s="633"/>
      <c r="C29" s="633"/>
      <c r="D29" s="633"/>
    </row>
    <row r="30" spans="1:4" ht="23.25">
      <c r="A30" s="644"/>
      <c r="B30" s="633"/>
      <c r="C30" s="633"/>
      <c r="D30" s="633"/>
    </row>
    <row r="31" spans="1:4" ht="23.25">
      <c r="A31" s="643"/>
      <c r="B31" s="633"/>
      <c r="C31" s="633"/>
      <c r="D31" s="633"/>
    </row>
    <row r="32" spans="1:4" ht="23.25">
      <c r="A32" s="643"/>
      <c r="B32" s="633"/>
      <c r="C32" s="633"/>
      <c r="D32" s="633"/>
    </row>
    <row r="33" spans="1:4" ht="23.25">
      <c r="A33" s="643"/>
      <c r="B33" s="633"/>
      <c r="C33" s="633"/>
      <c r="D33" s="633"/>
    </row>
    <row r="34" spans="1:4" ht="23.25">
      <c r="A34" s="643"/>
      <c r="B34" s="633"/>
      <c r="C34" s="633"/>
      <c r="D34" s="633"/>
    </row>
    <row r="35" spans="1:4" ht="23.25">
      <c r="A35" s="643"/>
      <c r="B35" s="633"/>
      <c r="C35" s="633"/>
      <c r="D35" s="633"/>
    </row>
    <row r="36" spans="1:4" ht="23.25">
      <c r="A36" s="643"/>
      <c r="B36" s="633"/>
      <c r="C36" s="633"/>
      <c r="D36" s="633"/>
    </row>
    <row r="37" spans="1:4" ht="23.25">
      <c r="A37" s="643"/>
      <c r="B37" s="633"/>
      <c r="C37" s="633"/>
      <c r="D37" s="633"/>
    </row>
    <row r="38" spans="1:4" ht="23.25">
      <c r="A38" s="643"/>
      <c r="B38" s="633"/>
      <c r="C38" s="633"/>
      <c r="D38" s="633"/>
    </row>
    <row r="39" spans="1:4" ht="23.25">
      <c r="A39" s="643"/>
      <c r="B39" s="633"/>
      <c r="C39" s="633"/>
      <c r="D39" s="633"/>
    </row>
    <row r="40" spans="1:4" ht="23.25">
      <c r="A40" s="643"/>
      <c r="B40" s="633"/>
      <c r="C40" s="633"/>
      <c r="D40" s="633"/>
    </row>
    <row r="41" spans="1:4" ht="23.25">
      <c r="A41" s="643"/>
      <c r="B41" s="633"/>
      <c r="C41" s="633"/>
      <c r="D41" s="633"/>
    </row>
    <row r="42" spans="1:4" ht="23.25">
      <c r="A42" s="643"/>
      <c r="B42" s="633"/>
      <c r="C42" s="633"/>
      <c r="D42" s="633"/>
    </row>
    <row r="43" spans="1:4" ht="23.25">
      <c r="A43" s="643"/>
      <c r="B43" s="633"/>
      <c r="C43" s="633"/>
      <c r="D43" s="633"/>
    </row>
    <row r="44" spans="1:4" ht="23.25">
      <c r="A44" s="643"/>
      <c r="B44" s="633"/>
      <c r="C44" s="633"/>
      <c r="D44" s="633"/>
    </row>
    <row r="45" spans="1:4" ht="17.25" customHeight="1">
      <c r="A45" s="643"/>
      <c r="B45" s="633"/>
      <c r="C45" s="633"/>
      <c r="D45" s="633"/>
    </row>
    <row r="46" spans="1:4" ht="17.25" customHeight="1">
      <c r="A46" s="643"/>
      <c r="B46" s="633"/>
      <c r="C46" s="633"/>
      <c r="D46" s="633"/>
    </row>
    <row r="47" spans="1:4" ht="17.25" customHeight="1">
      <c r="A47" s="643"/>
      <c r="B47" s="633"/>
      <c r="C47" s="633"/>
      <c r="D47" s="633"/>
    </row>
    <row r="48" spans="1:4" ht="17.25" customHeight="1">
      <c r="A48" s="643"/>
      <c r="B48" s="633"/>
      <c r="C48" s="633"/>
      <c r="D48" s="633"/>
    </row>
    <row r="49" spans="1:4" ht="17.25" customHeight="1">
      <c r="A49" s="643"/>
      <c r="B49" s="633"/>
      <c r="C49" s="633"/>
      <c r="D49" s="633"/>
    </row>
    <row r="50" spans="1:4" ht="17.25" customHeight="1">
      <c r="A50" s="643"/>
      <c r="B50" s="633"/>
      <c r="C50" s="633"/>
      <c r="D50" s="633"/>
    </row>
    <row r="51" spans="1:4" ht="23.25">
      <c r="A51" s="643"/>
      <c r="B51" s="633"/>
      <c r="C51" s="633"/>
      <c r="D51" s="633"/>
    </row>
    <row r="52" spans="1:4" ht="23.25">
      <c r="A52" s="643"/>
      <c r="B52" s="633"/>
      <c r="C52" s="633"/>
      <c r="D52" s="633"/>
    </row>
    <row r="53" spans="1:4" ht="23.25">
      <c r="A53" s="643"/>
      <c r="B53" s="633"/>
      <c r="C53" s="633"/>
      <c r="D53" s="633"/>
    </row>
    <row r="54" spans="1:4" ht="23.25">
      <c r="A54" s="643"/>
      <c r="B54" s="633"/>
      <c r="C54" s="633"/>
      <c r="D54" s="633"/>
    </row>
    <row r="55" spans="1:4" ht="23.25">
      <c r="A55" s="643"/>
      <c r="B55" s="633"/>
      <c r="C55" s="633"/>
      <c r="D55" s="633"/>
    </row>
    <row r="56" spans="1:4" ht="23.25">
      <c r="A56" s="643"/>
      <c r="B56" s="633"/>
      <c r="C56" s="633"/>
      <c r="D56" s="633"/>
    </row>
    <row r="57" spans="1:4" ht="23.25">
      <c r="A57" s="643"/>
      <c r="B57" s="633"/>
      <c r="C57" s="633"/>
      <c r="D57" s="633"/>
    </row>
    <row r="58" spans="1:4" ht="23.25">
      <c r="A58" s="643"/>
      <c r="B58" s="633"/>
      <c r="C58" s="633"/>
      <c r="D58" s="633"/>
    </row>
    <row r="59" spans="1:4" ht="23.25">
      <c r="A59" s="643"/>
      <c r="B59" s="633"/>
      <c r="C59" s="633"/>
      <c r="D59" s="633"/>
    </row>
    <row r="60" spans="1:4" ht="23.25">
      <c r="A60" s="643"/>
      <c r="B60" s="633"/>
      <c r="C60" s="633"/>
      <c r="D60" s="633"/>
    </row>
    <row r="61" spans="1:4" ht="23.25">
      <c r="A61" s="643"/>
      <c r="B61" s="633"/>
      <c r="C61" s="633"/>
      <c r="D61" s="633"/>
    </row>
    <row r="62" spans="1:4" ht="23.25">
      <c r="A62" s="643"/>
      <c r="B62" s="633"/>
      <c r="C62" s="633"/>
      <c r="D62" s="633"/>
    </row>
    <row r="63" spans="1:4" ht="23.25">
      <c r="A63" s="643"/>
      <c r="B63" s="633"/>
      <c r="C63" s="633"/>
      <c r="D63" s="633"/>
    </row>
    <row r="64" spans="1:4" ht="23.25">
      <c r="A64" s="643"/>
      <c r="B64" s="633"/>
      <c r="C64" s="633"/>
      <c r="D64" s="633"/>
    </row>
    <row r="65" spans="1:4" ht="23.25">
      <c r="A65" s="643"/>
      <c r="B65" s="633"/>
      <c r="C65" s="633"/>
      <c r="D65" s="633"/>
    </row>
    <row r="66" spans="1:4" ht="23.25">
      <c r="A66" s="643"/>
      <c r="B66" s="633"/>
      <c r="C66" s="633"/>
      <c r="D66" s="633"/>
    </row>
    <row r="67" spans="1:4" ht="23.25">
      <c r="A67" s="643"/>
      <c r="B67" s="633"/>
      <c r="C67" s="633"/>
      <c r="D67" s="633"/>
    </row>
    <row r="68" spans="1:4" ht="23.25">
      <c r="A68" s="643"/>
      <c r="B68" s="633"/>
      <c r="C68" s="633"/>
      <c r="D68" s="633"/>
    </row>
    <row r="69" spans="1:4" ht="23.25">
      <c r="A69" s="643"/>
      <c r="B69" s="633"/>
      <c r="C69" s="633"/>
      <c r="D69" s="633"/>
    </row>
    <row r="70" spans="1:4" ht="23.25">
      <c r="A70" s="643"/>
      <c r="B70" s="633"/>
      <c r="C70" s="633"/>
      <c r="D70" s="633"/>
    </row>
    <row r="71" spans="1:4" ht="23.25">
      <c r="A71" s="643"/>
      <c r="B71" s="633"/>
      <c r="C71" s="633"/>
      <c r="D71" s="633"/>
    </row>
    <row r="72" spans="1:4" ht="23.25">
      <c r="A72" s="643"/>
      <c r="B72" s="633"/>
      <c r="C72" s="633"/>
      <c r="D72" s="633"/>
    </row>
    <row r="73" spans="1:4" ht="23.25">
      <c r="A73" s="643"/>
      <c r="B73" s="633"/>
      <c r="C73" s="633"/>
      <c r="D73" s="633"/>
    </row>
    <row r="74" spans="1:4" ht="23.25">
      <c r="A74" s="643"/>
      <c r="B74" s="633"/>
      <c r="C74" s="633"/>
      <c r="D74" s="633"/>
    </row>
    <row r="75" spans="1:4" ht="23.25">
      <c r="A75" s="643"/>
      <c r="B75" s="633"/>
      <c r="C75" s="633"/>
      <c r="D75" s="633"/>
    </row>
    <row r="76" spans="1:4" ht="23.25">
      <c r="A76" s="643"/>
      <c r="B76" s="633"/>
      <c r="C76" s="633"/>
      <c r="D76" s="633"/>
    </row>
    <row r="77" spans="1:4" ht="23.25">
      <c r="A77" s="643"/>
      <c r="B77" s="633"/>
      <c r="C77" s="633"/>
      <c r="D77" s="633"/>
    </row>
    <row r="78" spans="1:4" ht="23.25">
      <c r="A78" s="643"/>
      <c r="B78" s="633"/>
      <c r="C78" s="633"/>
      <c r="D78" s="633"/>
    </row>
    <row r="79" spans="1:4" ht="23.25">
      <c r="A79" s="643"/>
      <c r="B79" s="633"/>
      <c r="C79" s="633"/>
      <c r="D79" s="633"/>
    </row>
    <row r="80" spans="1:4" ht="23.25">
      <c r="A80" s="643"/>
      <c r="B80" s="633"/>
      <c r="C80" s="633"/>
      <c r="D80" s="633"/>
    </row>
    <row r="81" spans="1:4" ht="23.25">
      <c r="A81" s="643"/>
      <c r="B81" s="633"/>
      <c r="C81" s="633"/>
      <c r="D81" s="633"/>
    </row>
    <row r="82" spans="1:4" ht="23.25">
      <c r="A82" s="643"/>
      <c r="B82" s="633"/>
      <c r="C82" s="633"/>
      <c r="D82" s="633"/>
    </row>
    <row r="83" spans="1:4" ht="23.25">
      <c r="A83" s="643"/>
      <c r="B83" s="633"/>
      <c r="C83" s="633"/>
      <c r="D83" s="633"/>
    </row>
    <row r="84" spans="1:4" ht="23.25">
      <c r="A84" s="563"/>
      <c r="B84" s="438"/>
      <c r="C84" s="559"/>
      <c r="D84" s="559"/>
    </row>
    <row r="85" spans="1:4" ht="23.25">
      <c r="A85" s="563"/>
      <c r="B85" s="438"/>
      <c r="C85" s="559"/>
      <c r="D85" s="559"/>
    </row>
    <row r="86" spans="1:4" ht="23.25">
      <c r="A86" s="563"/>
      <c r="B86" s="438"/>
      <c r="C86" s="559"/>
      <c r="D86" s="559"/>
    </row>
    <row r="87" spans="1:4" ht="23.25">
      <c r="A87" s="563"/>
      <c r="B87" s="438"/>
      <c r="C87" s="559"/>
      <c r="D87" s="559"/>
    </row>
    <row r="88" spans="1:4" ht="23.25">
      <c r="A88" s="563"/>
      <c r="B88" s="438"/>
      <c r="C88" s="559"/>
      <c r="D88" s="559"/>
    </row>
    <row r="89" spans="1:4" ht="23.25">
      <c r="A89" s="563"/>
      <c r="B89" s="438"/>
      <c r="C89" s="559"/>
      <c r="D89" s="559"/>
    </row>
    <row r="90" spans="1:4" ht="23.25">
      <c r="A90" s="563"/>
      <c r="B90" s="438"/>
      <c r="C90" s="559"/>
      <c r="D90" s="559"/>
    </row>
    <row r="91" spans="1:4" ht="23.25">
      <c r="A91" s="563"/>
      <c r="B91" s="438"/>
      <c r="C91" s="559"/>
      <c r="D91" s="559"/>
    </row>
    <row r="92" spans="1:4" ht="23.25">
      <c r="A92" s="563"/>
      <c r="B92" s="438"/>
      <c r="C92" s="559"/>
      <c r="D92" s="559"/>
    </row>
    <row r="93" spans="1:4" ht="23.25">
      <c r="A93" s="563"/>
      <c r="B93" s="438"/>
      <c r="C93" s="559"/>
      <c r="D93" s="559"/>
    </row>
  </sheetData>
  <sheetProtection/>
  <mergeCells count="4">
    <mergeCell ref="A1:D1"/>
    <mergeCell ref="A3:D3"/>
    <mergeCell ref="A4:A5"/>
    <mergeCell ref="A2:D2"/>
  </mergeCells>
  <printOptions/>
  <pageMargins left="0.5905511811023623" right="0.15748031496062992" top="0.5905511811023623" bottom="0.5905511811023623" header="0.5905511811023623" footer="0.4330708661417323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2"/>
  <sheetViews>
    <sheetView zoomScaleSheetLayoutView="100" zoomScalePageLayoutView="0" workbookViewId="0" topLeftCell="A1">
      <pane xSplit="7" ySplit="4" topLeftCell="M1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9" sqref="A29"/>
    </sheetView>
  </sheetViews>
  <sheetFormatPr defaultColWidth="9.140625" defaultRowHeight="23.25"/>
  <cols>
    <col min="1" max="1" width="49.8515625" style="29" customWidth="1"/>
    <col min="2" max="2" width="4.140625" style="29" customWidth="1"/>
    <col min="3" max="3" width="4.57421875" style="29" customWidth="1"/>
    <col min="4" max="4" width="9.57421875" style="29" customWidth="1"/>
    <col min="5" max="5" width="6.00390625" style="29" customWidth="1"/>
    <col min="6" max="6" width="5.8515625" style="29" customWidth="1"/>
    <col min="7" max="8" width="10.00390625" style="29" customWidth="1"/>
    <col min="9" max="9" width="10.7109375" style="29" customWidth="1"/>
    <col min="10" max="11" width="9.57421875" style="29" customWidth="1"/>
    <col min="12" max="12" width="9.00390625" style="29" customWidth="1"/>
    <col min="13" max="13" width="9.28125" style="29" customWidth="1"/>
    <col min="14" max="14" width="9.7109375" style="29" customWidth="1"/>
    <col min="15" max="15" width="8.421875" style="29" customWidth="1"/>
    <col min="16" max="16" width="9.28125" style="29" customWidth="1"/>
    <col min="17" max="17" width="9.8515625" style="29" customWidth="1"/>
    <col min="18" max="18" width="8.8515625" style="29" customWidth="1"/>
    <col min="19" max="19" width="10.28125" style="29" customWidth="1"/>
    <col min="20" max="21" width="10.421875" style="142" customWidth="1"/>
    <col min="22" max="16384" width="9.140625" style="29" customWidth="1"/>
  </cols>
  <sheetData>
    <row r="1" spans="1:21" ht="18.75" customHeight="1">
      <c r="A1" s="723" t="s">
        <v>121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</row>
    <row r="2" spans="1:21" ht="18.75" customHeight="1">
      <c r="A2" s="723" t="s">
        <v>491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</row>
    <row r="3" spans="1:21" ht="18" customHeight="1">
      <c r="A3" s="721" t="s">
        <v>4</v>
      </c>
      <c r="B3" s="219"/>
      <c r="C3" s="719" t="s">
        <v>51</v>
      </c>
      <c r="D3" s="719"/>
      <c r="E3" s="132" t="s">
        <v>9</v>
      </c>
      <c r="F3" s="132" t="s">
        <v>9</v>
      </c>
      <c r="G3" s="130" t="s">
        <v>0</v>
      </c>
      <c r="H3" s="130" t="s">
        <v>26</v>
      </c>
      <c r="I3" s="131" t="s">
        <v>27</v>
      </c>
      <c r="J3" s="130" t="s">
        <v>28</v>
      </c>
      <c r="K3" s="131" t="s">
        <v>29</v>
      </c>
      <c r="L3" s="130" t="s">
        <v>30</v>
      </c>
      <c r="M3" s="131" t="s">
        <v>31</v>
      </c>
      <c r="N3" s="130" t="s">
        <v>32</v>
      </c>
      <c r="O3" s="131" t="s">
        <v>33</v>
      </c>
      <c r="P3" s="130" t="s">
        <v>34</v>
      </c>
      <c r="Q3" s="131" t="s">
        <v>35</v>
      </c>
      <c r="R3" s="130" t="s">
        <v>36</v>
      </c>
      <c r="S3" s="130" t="s">
        <v>37</v>
      </c>
      <c r="T3" s="130" t="s">
        <v>25</v>
      </c>
      <c r="U3" s="130" t="s">
        <v>6</v>
      </c>
    </row>
    <row r="4" spans="1:21" ht="14.25" customHeight="1">
      <c r="A4" s="673"/>
      <c r="B4" s="8" t="s">
        <v>8</v>
      </c>
      <c r="C4" s="133" t="s">
        <v>9</v>
      </c>
      <c r="D4" s="117"/>
      <c r="E4" s="140" t="s">
        <v>10</v>
      </c>
      <c r="F4" s="140" t="s">
        <v>11</v>
      </c>
      <c r="G4" s="9" t="s">
        <v>69</v>
      </c>
      <c r="H4" s="148"/>
      <c r="I4" s="207"/>
      <c r="J4" s="148"/>
      <c r="K4" s="207"/>
      <c r="L4" s="148"/>
      <c r="M4" s="207"/>
      <c r="N4" s="148"/>
      <c r="O4" s="207"/>
      <c r="P4" s="148"/>
      <c r="Q4" s="207"/>
      <c r="R4" s="148"/>
      <c r="S4" s="148"/>
      <c r="T4" s="9"/>
      <c r="U4" s="9" t="s">
        <v>5</v>
      </c>
    </row>
    <row r="5" spans="1:21" ht="18">
      <c r="A5" s="152" t="s">
        <v>467</v>
      </c>
      <c r="B5" s="1"/>
      <c r="C5" s="50"/>
      <c r="D5" s="50"/>
      <c r="E5" s="50"/>
      <c r="F5" s="50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38"/>
      <c r="U5" s="138"/>
    </row>
    <row r="6" spans="1:21" ht="18">
      <c r="A6" s="153" t="s">
        <v>84</v>
      </c>
      <c r="B6" s="1"/>
      <c r="C6" s="50"/>
      <c r="D6" s="50"/>
      <c r="E6" s="50"/>
      <c r="F6" s="50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38"/>
      <c r="U6" s="138"/>
    </row>
    <row r="7" spans="1:21" ht="18">
      <c r="A7" s="153" t="s">
        <v>468</v>
      </c>
      <c r="B7" s="1"/>
      <c r="C7" s="50"/>
      <c r="D7" s="26"/>
      <c r="E7" s="108"/>
      <c r="F7" s="108"/>
      <c r="G7" s="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135"/>
      <c r="U7" s="135"/>
    </row>
    <row r="8" spans="1:22" ht="18">
      <c r="A8" s="251" t="s">
        <v>469</v>
      </c>
      <c r="B8" s="1"/>
      <c r="C8" s="50"/>
      <c r="D8" s="26">
        <v>95000</v>
      </c>
      <c r="E8" s="108"/>
      <c r="F8" s="108"/>
      <c r="G8" s="52">
        <f>+D8+E8-F8</f>
        <v>95000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60000</v>
      </c>
      <c r="P8" s="255">
        <v>0</v>
      </c>
      <c r="Q8" s="255">
        <v>0</v>
      </c>
      <c r="R8" s="255">
        <v>0</v>
      </c>
      <c r="S8" s="255">
        <v>0</v>
      </c>
      <c r="T8" s="135">
        <f>SUM(H8:S8)</f>
        <v>60000</v>
      </c>
      <c r="U8" s="135">
        <f>+G8-T8</f>
        <v>35000</v>
      </c>
      <c r="V8" s="302"/>
    </row>
    <row r="9" spans="1:22" ht="18">
      <c r="A9" s="251" t="s">
        <v>470</v>
      </c>
      <c r="B9" s="1"/>
      <c r="C9" s="50"/>
      <c r="D9" s="26">
        <v>300000</v>
      </c>
      <c r="E9" s="108"/>
      <c r="F9" s="108"/>
      <c r="G9" s="52">
        <f>+D9+E9-F9</f>
        <v>300000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0</v>
      </c>
      <c r="Q9" s="255">
        <v>0</v>
      </c>
      <c r="R9" s="255">
        <v>0</v>
      </c>
      <c r="S9" s="255">
        <v>0</v>
      </c>
      <c r="T9" s="135">
        <f>SUM(H9:S9)</f>
        <v>0</v>
      </c>
      <c r="U9" s="135">
        <f>+G9-T9</f>
        <v>300000</v>
      </c>
      <c r="V9" s="302"/>
    </row>
    <row r="10" spans="1:22" ht="18">
      <c r="A10" s="251" t="s">
        <v>471</v>
      </c>
      <c r="B10" s="1"/>
      <c r="C10" s="50"/>
      <c r="D10" s="26">
        <v>50000</v>
      </c>
      <c r="E10" s="108"/>
      <c r="F10" s="108"/>
      <c r="G10" s="52">
        <f>+D10+E10-F10</f>
        <v>50000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135">
        <f>SUM(H10:S10)</f>
        <v>0</v>
      </c>
      <c r="U10" s="135">
        <f>+G10-T10</f>
        <v>50000</v>
      </c>
      <c r="V10" s="302"/>
    </row>
    <row r="11" spans="1:21" ht="18">
      <c r="A11" s="251" t="s">
        <v>472</v>
      </c>
      <c r="B11" s="1"/>
      <c r="C11" s="50"/>
      <c r="D11" s="26">
        <v>115000</v>
      </c>
      <c r="E11" s="108"/>
      <c r="F11" s="108"/>
      <c r="G11" s="52">
        <f aca="true" t="shared" si="0" ref="G11:G19">+D11+E11-F11</f>
        <v>115000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104000</v>
      </c>
      <c r="S11" s="255">
        <v>0</v>
      </c>
      <c r="T11" s="135">
        <f aca="true" t="shared" si="1" ref="T11:T19">SUM(H11:S11)</f>
        <v>104000</v>
      </c>
      <c r="U11" s="135">
        <f aca="true" t="shared" si="2" ref="U11:U19">+G11-T11</f>
        <v>11000</v>
      </c>
    </row>
    <row r="12" spans="1:21" ht="18">
      <c r="A12" s="251" t="s">
        <v>473</v>
      </c>
      <c r="B12" s="1"/>
      <c r="C12" s="50"/>
      <c r="D12" s="26">
        <v>300000</v>
      </c>
      <c r="E12" s="108"/>
      <c r="F12" s="108"/>
      <c r="G12" s="52">
        <f t="shared" si="0"/>
        <v>300000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55">
        <v>0</v>
      </c>
      <c r="R12" s="255">
        <v>0</v>
      </c>
      <c r="S12" s="255">
        <v>0</v>
      </c>
      <c r="T12" s="135">
        <f t="shared" si="1"/>
        <v>0</v>
      </c>
      <c r="U12" s="135">
        <f t="shared" si="2"/>
        <v>300000</v>
      </c>
    </row>
    <row r="13" spans="1:21" ht="18">
      <c r="A13" s="251" t="s">
        <v>474</v>
      </c>
      <c r="B13" s="1"/>
      <c r="C13" s="50"/>
      <c r="D13" s="26">
        <v>100000</v>
      </c>
      <c r="E13" s="108"/>
      <c r="F13" s="108"/>
      <c r="G13" s="52">
        <f t="shared" si="0"/>
        <v>100000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135">
        <f t="shared" si="1"/>
        <v>0</v>
      </c>
      <c r="U13" s="135">
        <f t="shared" si="2"/>
        <v>100000</v>
      </c>
    </row>
    <row r="14" spans="1:21" ht="18">
      <c r="A14" s="251" t="s">
        <v>475</v>
      </c>
      <c r="B14" s="1"/>
      <c r="C14" s="50"/>
      <c r="D14" s="26">
        <v>5000000</v>
      </c>
      <c r="E14" s="108"/>
      <c r="F14" s="108"/>
      <c r="G14" s="52">
        <f t="shared" si="0"/>
        <v>5000000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255">
        <v>0</v>
      </c>
      <c r="S14" s="255">
        <v>0</v>
      </c>
      <c r="T14" s="135">
        <f t="shared" si="1"/>
        <v>0</v>
      </c>
      <c r="U14" s="135">
        <f t="shared" si="2"/>
        <v>5000000</v>
      </c>
    </row>
    <row r="15" spans="1:21" ht="18">
      <c r="A15" s="251"/>
      <c r="B15" s="1"/>
      <c r="C15" s="50"/>
      <c r="D15" s="26"/>
      <c r="E15" s="108"/>
      <c r="F15" s="108"/>
      <c r="G15" s="52">
        <f t="shared" si="0"/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135">
        <f t="shared" si="1"/>
        <v>0</v>
      </c>
      <c r="U15" s="135">
        <f t="shared" si="2"/>
        <v>0</v>
      </c>
    </row>
    <row r="16" spans="1:21" ht="18">
      <c r="A16" s="153" t="s">
        <v>468</v>
      </c>
      <c r="B16" s="1"/>
      <c r="C16" s="50"/>
      <c r="D16" s="26"/>
      <c r="E16" s="108"/>
      <c r="F16" s="108"/>
      <c r="G16" s="52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135"/>
      <c r="U16" s="135"/>
    </row>
    <row r="17" spans="1:21" ht="18">
      <c r="A17" s="251" t="s">
        <v>476</v>
      </c>
      <c r="B17" s="1"/>
      <c r="C17" s="50"/>
      <c r="D17" s="26">
        <v>50000</v>
      </c>
      <c r="E17" s="108"/>
      <c r="F17" s="108"/>
      <c r="G17" s="52">
        <f t="shared" si="0"/>
        <v>50000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  <c r="Q17" s="255">
        <v>0</v>
      </c>
      <c r="R17" s="255">
        <v>47000</v>
      </c>
      <c r="S17" s="255">
        <v>0</v>
      </c>
      <c r="T17" s="135">
        <f t="shared" si="1"/>
        <v>47000</v>
      </c>
      <c r="U17" s="135">
        <f t="shared" si="2"/>
        <v>3000</v>
      </c>
    </row>
    <row r="18" spans="1:21" ht="18">
      <c r="A18" s="251" t="s">
        <v>477</v>
      </c>
      <c r="B18" s="1"/>
      <c r="C18" s="50"/>
      <c r="D18" s="26">
        <v>350000</v>
      </c>
      <c r="E18" s="108"/>
      <c r="F18" s="108"/>
      <c r="G18" s="52">
        <f t="shared" si="0"/>
        <v>350000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  <c r="P18" s="255">
        <v>0</v>
      </c>
      <c r="Q18" s="255">
        <v>0</v>
      </c>
      <c r="R18" s="255">
        <v>0</v>
      </c>
      <c r="S18" s="255">
        <v>0</v>
      </c>
      <c r="T18" s="135">
        <f t="shared" si="1"/>
        <v>0</v>
      </c>
      <c r="U18" s="135">
        <f t="shared" si="2"/>
        <v>350000</v>
      </c>
    </row>
    <row r="19" spans="1:21" ht="18">
      <c r="A19" s="251" t="s">
        <v>478</v>
      </c>
      <c r="B19" s="1"/>
      <c r="C19" s="50"/>
      <c r="D19" s="26">
        <v>100000</v>
      </c>
      <c r="E19" s="108"/>
      <c r="F19" s="108"/>
      <c r="G19" s="52">
        <f t="shared" si="0"/>
        <v>100000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97000</v>
      </c>
      <c r="P19" s="255">
        <v>0</v>
      </c>
      <c r="Q19" s="255">
        <v>0</v>
      </c>
      <c r="R19" s="255">
        <v>0</v>
      </c>
      <c r="S19" s="255">
        <v>0</v>
      </c>
      <c r="T19" s="135">
        <f t="shared" si="1"/>
        <v>97000</v>
      </c>
      <c r="U19" s="135">
        <f t="shared" si="2"/>
        <v>3000</v>
      </c>
    </row>
    <row r="20" spans="1:21" ht="18">
      <c r="A20" s="251" t="s">
        <v>479</v>
      </c>
      <c r="B20" s="1"/>
      <c r="C20" s="50"/>
      <c r="D20" s="26">
        <v>25000</v>
      </c>
      <c r="E20" s="108"/>
      <c r="F20" s="108"/>
      <c r="G20" s="52">
        <f>+D20+E20-F20</f>
        <v>25000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18000</v>
      </c>
      <c r="Q20" s="255">
        <v>0</v>
      </c>
      <c r="R20" s="255">
        <v>0</v>
      </c>
      <c r="S20" s="255">
        <v>0</v>
      </c>
      <c r="T20" s="135">
        <f>SUM(H20:S20)</f>
        <v>18000</v>
      </c>
      <c r="U20" s="135">
        <f>+G20-T20</f>
        <v>7000</v>
      </c>
    </row>
    <row r="21" spans="1:21" ht="18">
      <c r="A21" s="251" t="s">
        <v>480</v>
      </c>
      <c r="B21" s="1"/>
      <c r="C21" s="50"/>
      <c r="D21" s="26">
        <v>55000</v>
      </c>
      <c r="E21" s="108"/>
      <c r="F21" s="108"/>
      <c r="G21" s="52">
        <f>+D21+E21-F21</f>
        <v>55000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34000</v>
      </c>
      <c r="S21" s="255">
        <v>0</v>
      </c>
      <c r="T21" s="135">
        <f>SUM(H21:S21)</f>
        <v>34000</v>
      </c>
      <c r="U21" s="135">
        <f>+G21-T21</f>
        <v>21000</v>
      </c>
    </row>
    <row r="22" spans="1:21" ht="18">
      <c r="A22" s="251" t="s">
        <v>481</v>
      </c>
      <c r="B22" s="1"/>
      <c r="C22" s="50"/>
      <c r="D22" s="26">
        <v>600000</v>
      </c>
      <c r="E22" s="108"/>
      <c r="F22" s="108"/>
      <c r="G22" s="52">
        <f>+D22+E22-F22</f>
        <v>600000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v>0</v>
      </c>
      <c r="S22" s="255">
        <v>0</v>
      </c>
      <c r="T22" s="135">
        <f>SUM(H22:S22)</f>
        <v>0</v>
      </c>
      <c r="U22" s="135">
        <f>+G22-T22</f>
        <v>600000</v>
      </c>
    </row>
    <row r="23" spans="1:21" ht="18">
      <c r="A23" s="153"/>
      <c r="B23" s="1"/>
      <c r="C23" s="50"/>
      <c r="D23" s="26"/>
      <c r="E23" s="108"/>
      <c r="F23" s="108"/>
      <c r="G23" s="52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135"/>
      <c r="U23" s="135"/>
    </row>
    <row r="24" spans="1:21" ht="18">
      <c r="A24" s="10"/>
      <c r="B24" s="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135"/>
      <c r="U24" s="135"/>
    </row>
    <row r="25" spans="1:21" ht="18.75" thickBot="1">
      <c r="A25" s="10"/>
      <c r="B25" s="1"/>
      <c r="C25" s="50"/>
      <c r="D25" s="50" t="s">
        <v>7</v>
      </c>
      <c r="E25" s="50"/>
      <c r="F25" s="50"/>
      <c r="G25" s="277">
        <f aca="true" t="shared" si="3" ref="G25:U25">SUM(G8:G24)</f>
        <v>7140000</v>
      </c>
      <c r="H25" s="277">
        <f t="shared" si="3"/>
        <v>0</v>
      </c>
      <c r="I25" s="277">
        <f t="shared" si="3"/>
        <v>0</v>
      </c>
      <c r="J25" s="277">
        <f t="shared" si="3"/>
        <v>0</v>
      </c>
      <c r="K25" s="277">
        <f t="shared" si="3"/>
        <v>0</v>
      </c>
      <c r="L25" s="277">
        <f t="shared" si="3"/>
        <v>0</v>
      </c>
      <c r="M25" s="277">
        <f t="shared" si="3"/>
        <v>0</v>
      </c>
      <c r="N25" s="277">
        <f t="shared" si="3"/>
        <v>0</v>
      </c>
      <c r="O25" s="277">
        <f t="shared" si="3"/>
        <v>157000</v>
      </c>
      <c r="P25" s="277">
        <f t="shared" si="3"/>
        <v>18000</v>
      </c>
      <c r="Q25" s="277">
        <f t="shared" si="3"/>
        <v>0</v>
      </c>
      <c r="R25" s="277">
        <f t="shared" si="3"/>
        <v>185000</v>
      </c>
      <c r="S25" s="277">
        <f t="shared" si="3"/>
        <v>0</v>
      </c>
      <c r="T25" s="277">
        <f t="shared" si="3"/>
        <v>360000</v>
      </c>
      <c r="U25" s="277">
        <f t="shared" si="3"/>
        <v>6780000</v>
      </c>
    </row>
    <row r="26" spans="1:21" ht="18.75" thickTop="1">
      <c r="A26" s="239"/>
      <c r="B26" s="141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1:21" ht="18">
      <c r="A27" s="239"/>
      <c r="B27" s="141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1:21" ht="18">
      <c r="A28" s="239"/>
      <c r="B28" s="14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</row>
    <row r="29" spans="1:21" ht="18">
      <c r="A29" s="303"/>
      <c r="B29" s="141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</row>
    <row r="30" spans="1:21" ht="18">
      <c r="A30" s="239"/>
      <c r="B30" s="141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</row>
    <row r="31" spans="1:21" ht="18">
      <c r="A31" s="239"/>
      <c r="B31" s="141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ht="18">
      <c r="A32" s="239"/>
      <c r="B32" s="141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ht="18">
      <c r="A33" s="239"/>
      <c r="B33" s="141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ht="18">
      <c r="A34" s="239"/>
      <c r="B34" s="141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</row>
    <row r="35" spans="1:21" ht="18">
      <c r="A35" s="239"/>
      <c r="B35" s="141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ht="18">
      <c r="A36" s="239"/>
      <c r="B36" s="141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ht="18">
      <c r="A37" s="239"/>
      <c r="B37" s="141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ht="18">
      <c r="A38" s="239"/>
      <c r="B38" s="141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18">
      <c r="A39" s="239"/>
      <c r="B39" s="141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1" ht="18">
      <c r="A40" s="239"/>
      <c r="B40" s="141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21" ht="18">
      <c r="A41" s="239"/>
      <c r="B41" s="141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21" ht="18">
      <c r="A42" s="239"/>
      <c r="B42" s="141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1:21" ht="18">
      <c r="A43" s="239"/>
      <c r="B43" s="14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7.25" customHeight="1">
      <c r="A44" s="239"/>
      <c r="B44" s="141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</row>
    <row r="45" spans="1:21" ht="17.25" customHeight="1">
      <c r="A45" s="239"/>
      <c r="B45" s="141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ht="17.25" customHeight="1">
      <c r="A46" s="239"/>
      <c r="B46" s="141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ht="17.25" customHeight="1">
      <c r="A47" s="239"/>
      <c r="B47" s="141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7.25" customHeight="1">
      <c r="A48" s="239"/>
      <c r="B48" s="141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1" ht="17.25" customHeight="1">
      <c r="A49" s="239"/>
      <c r="B49" s="141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1" ht="18">
      <c r="A50" s="239"/>
      <c r="B50" s="141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1:21" ht="18">
      <c r="A51" s="239"/>
      <c r="B51" s="141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ht="18">
      <c r="A52" s="239"/>
      <c r="B52" s="141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1" ht="18">
      <c r="A53" s="239"/>
      <c r="B53" s="141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1:21" ht="18">
      <c r="A54" s="239"/>
      <c r="B54" s="141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ht="18">
      <c r="A55" s="239"/>
      <c r="B55" s="141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21" ht="18">
      <c r="A56" s="239"/>
      <c r="B56" s="141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8">
      <c r="A57" s="239"/>
      <c r="B57" s="141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1:21" ht="18">
      <c r="A58" s="239"/>
      <c r="B58" s="141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ht="18">
      <c r="A59" s="239"/>
      <c r="B59" s="141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1:21" ht="18">
      <c r="A60" s="239"/>
      <c r="B60" s="141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1:21" ht="18">
      <c r="A61" s="239"/>
      <c r="B61" s="141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">
      <c r="A62" s="239"/>
      <c r="B62" s="141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">
      <c r="A63" s="239"/>
      <c r="B63" s="141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8">
      <c r="A64" s="239"/>
      <c r="B64" s="141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8">
      <c r="A65" s="239"/>
      <c r="B65" s="141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8">
      <c r="A66" s="239"/>
      <c r="B66" s="141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">
      <c r="A67" s="239"/>
      <c r="B67" s="141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">
      <c r="A68" s="239"/>
      <c r="B68" s="141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8">
      <c r="A69" s="239"/>
      <c r="B69" s="141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8">
      <c r="A70" s="239"/>
      <c r="B70" s="141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8">
      <c r="A71" s="239"/>
      <c r="B71" s="141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ht="18">
      <c r="A72" s="239"/>
      <c r="B72" s="141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8">
      <c r="A73" s="239"/>
      <c r="B73" s="141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8">
      <c r="A74" s="239"/>
      <c r="B74" s="141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1:21" ht="18">
      <c r="A75" s="239"/>
      <c r="B75" s="141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8">
      <c r="A76" s="239"/>
      <c r="B76" s="141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8">
      <c r="A77" s="239"/>
      <c r="B77" s="141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</row>
    <row r="78" spans="1:21" ht="18">
      <c r="A78" s="239"/>
      <c r="B78" s="141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8">
      <c r="A79" s="239"/>
      <c r="B79" s="141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8">
      <c r="A80" s="239"/>
      <c r="B80" s="141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</row>
    <row r="81" spans="1:21" ht="18">
      <c r="A81" s="239"/>
      <c r="B81" s="141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8">
      <c r="A82" s="239"/>
      <c r="B82" s="141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21">
      <c r="A83" s="88"/>
      <c r="B83" s="78"/>
      <c r="C83" s="157"/>
      <c r="D83" s="85"/>
      <c r="E83" s="85"/>
      <c r="F83" s="85"/>
      <c r="G83" s="147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174"/>
      <c r="U83" s="174"/>
    </row>
    <row r="84" spans="1:21" ht="21">
      <c r="A84" s="88"/>
      <c r="B84" s="78"/>
      <c r="C84" s="157"/>
      <c r="D84" s="85"/>
      <c r="E84" s="85"/>
      <c r="F84" s="85"/>
      <c r="G84" s="147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174"/>
      <c r="U84" s="174"/>
    </row>
    <row r="85" spans="1:21" ht="21">
      <c r="A85" s="88"/>
      <c r="B85" s="78"/>
      <c r="C85" s="157"/>
      <c r="D85" s="85"/>
      <c r="E85" s="85"/>
      <c r="F85" s="85"/>
      <c r="G85" s="147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174"/>
      <c r="U85" s="174"/>
    </row>
    <row r="86" spans="1:21" ht="21">
      <c r="A86" s="88"/>
      <c r="B86" s="78"/>
      <c r="C86" s="157"/>
      <c r="D86" s="85"/>
      <c r="E86" s="85"/>
      <c r="F86" s="85"/>
      <c r="G86" s="147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174"/>
      <c r="U86" s="174"/>
    </row>
    <row r="87" spans="1:21" ht="21">
      <c r="A87" s="88"/>
      <c r="B87" s="78"/>
      <c r="C87" s="157"/>
      <c r="D87" s="85"/>
      <c r="E87" s="85"/>
      <c r="F87" s="85"/>
      <c r="G87" s="147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174"/>
      <c r="U87" s="174"/>
    </row>
    <row r="88" spans="1:21" ht="21">
      <c r="A88" s="88"/>
      <c r="B88" s="78"/>
      <c r="C88" s="157"/>
      <c r="D88" s="85"/>
      <c r="E88" s="85"/>
      <c r="F88" s="85"/>
      <c r="G88" s="147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174"/>
      <c r="U88" s="174"/>
    </row>
    <row r="89" spans="1:21" ht="21">
      <c r="A89" s="88"/>
      <c r="B89" s="78"/>
      <c r="C89" s="157"/>
      <c r="D89" s="85"/>
      <c r="E89" s="85"/>
      <c r="F89" s="85"/>
      <c r="G89" s="147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174"/>
      <c r="U89" s="174"/>
    </row>
    <row r="90" spans="1:21" ht="21">
      <c r="A90" s="88"/>
      <c r="B90" s="78"/>
      <c r="C90" s="157"/>
      <c r="D90" s="85"/>
      <c r="E90" s="85"/>
      <c r="F90" s="85"/>
      <c r="G90" s="147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174"/>
      <c r="U90" s="174"/>
    </row>
    <row r="91" spans="1:21" ht="21">
      <c r="A91" s="88"/>
      <c r="B91" s="78"/>
      <c r="C91" s="157"/>
      <c r="D91" s="85"/>
      <c r="E91" s="85"/>
      <c r="F91" s="85"/>
      <c r="G91" s="147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174"/>
      <c r="U91" s="174"/>
    </row>
    <row r="92" spans="1:21" ht="21">
      <c r="A92" s="88"/>
      <c r="B92" s="78"/>
      <c r="C92" s="157"/>
      <c r="D92" s="85"/>
      <c r="E92" s="85"/>
      <c r="F92" s="85"/>
      <c r="G92" s="147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174"/>
      <c r="U92" s="174"/>
    </row>
  </sheetData>
  <sheetProtection/>
  <mergeCells count="4">
    <mergeCell ref="A1:U1"/>
    <mergeCell ref="A2:U2"/>
    <mergeCell ref="A3:A4"/>
    <mergeCell ref="C3:D3"/>
  </mergeCells>
  <printOptions/>
  <pageMargins left="0.5905511811023623" right="0.15748031496062992" top="0" bottom="0" header="0.5905511811023623" footer="0.4330708661417323"/>
  <pageSetup horizontalDpi="600" verticalDpi="600" orientation="landscape" paperSize="5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09"/>
  <sheetViews>
    <sheetView zoomScaleSheetLayoutView="100" zoomScalePageLayoutView="0" workbookViewId="0" topLeftCell="A1">
      <pane xSplit="7" ySplit="4" topLeftCell="M3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R45" sqref="R45"/>
    </sheetView>
  </sheetViews>
  <sheetFormatPr defaultColWidth="9.140625" defaultRowHeight="23.25"/>
  <cols>
    <col min="1" max="1" width="49.8515625" style="29" customWidth="1"/>
    <col min="2" max="2" width="4.140625" style="29" customWidth="1"/>
    <col min="3" max="3" width="4.57421875" style="29" customWidth="1"/>
    <col min="4" max="4" width="9.57421875" style="29" customWidth="1"/>
    <col min="5" max="5" width="6.00390625" style="29" customWidth="1"/>
    <col min="6" max="6" width="5.8515625" style="29" customWidth="1"/>
    <col min="7" max="8" width="10.00390625" style="29" customWidth="1"/>
    <col min="9" max="9" width="10.7109375" style="29" customWidth="1"/>
    <col min="10" max="11" width="9.57421875" style="29" customWidth="1"/>
    <col min="12" max="12" width="9.00390625" style="29" customWidth="1"/>
    <col min="13" max="13" width="9.28125" style="29" customWidth="1"/>
    <col min="14" max="14" width="9.7109375" style="29" customWidth="1"/>
    <col min="15" max="15" width="8.421875" style="29" customWidth="1"/>
    <col min="16" max="16" width="9.28125" style="29" customWidth="1"/>
    <col min="17" max="17" width="9.8515625" style="29" customWidth="1"/>
    <col min="18" max="18" width="8.8515625" style="29" customWidth="1"/>
    <col min="19" max="19" width="10.28125" style="29" customWidth="1"/>
    <col min="20" max="21" width="10.421875" style="142" customWidth="1"/>
    <col min="22" max="16384" width="9.140625" style="29" customWidth="1"/>
  </cols>
  <sheetData>
    <row r="1" spans="1:21" ht="18.75" customHeight="1">
      <c r="A1" s="723" t="s">
        <v>121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</row>
    <row r="2" spans="1:21" ht="18.75" customHeight="1">
      <c r="A2" s="723" t="s">
        <v>491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</row>
    <row r="3" spans="1:21" ht="18" customHeight="1">
      <c r="A3" s="721" t="s">
        <v>4</v>
      </c>
      <c r="B3" s="219"/>
      <c r="C3" s="719" t="s">
        <v>51</v>
      </c>
      <c r="D3" s="719"/>
      <c r="E3" s="132" t="s">
        <v>9</v>
      </c>
      <c r="F3" s="132" t="s">
        <v>9</v>
      </c>
      <c r="G3" s="130" t="s">
        <v>0</v>
      </c>
      <c r="H3" s="130" t="s">
        <v>26</v>
      </c>
      <c r="I3" s="131" t="s">
        <v>27</v>
      </c>
      <c r="J3" s="130" t="s">
        <v>28</v>
      </c>
      <c r="K3" s="131" t="s">
        <v>29</v>
      </c>
      <c r="L3" s="130" t="s">
        <v>30</v>
      </c>
      <c r="M3" s="131" t="s">
        <v>31</v>
      </c>
      <c r="N3" s="130" t="s">
        <v>32</v>
      </c>
      <c r="O3" s="131" t="s">
        <v>33</v>
      </c>
      <c r="P3" s="130" t="s">
        <v>34</v>
      </c>
      <c r="Q3" s="131" t="s">
        <v>35</v>
      </c>
      <c r="R3" s="130" t="s">
        <v>36</v>
      </c>
      <c r="S3" s="130" t="s">
        <v>37</v>
      </c>
      <c r="T3" s="130" t="s">
        <v>25</v>
      </c>
      <c r="U3" s="130" t="s">
        <v>6</v>
      </c>
    </row>
    <row r="4" spans="1:21" ht="14.25" customHeight="1">
      <c r="A4" s="673"/>
      <c r="B4" s="8" t="s">
        <v>8</v>
      </c>
      <c r="C4" s="133" t="s">
        <v>9</v>
      </c>
      <c r="D4" s="117"/>
      <c r="E4" s="140" t="s">
        <v>10</v>
      </c>
      <c r="F4" s="140" t="s">
        <v>11</v>
      </c>
      <c r="G4" s="9" t="s">
        <v>69</v>
      </c>
      <c r="H4" s="148"/>
      <c r="I4" s="207"/>
      <c r="J4" s="148"/>
      <c r="K4" s="207"/>
      <c r="L4" s="148"/>
      <c r="M4" s="207"/>
      <c r="N4" s="148"/>
      <c r="O4" s="207"/>
      <c r="P4" s="148"/>
      <c r="Q4" s="207"/>
      <c r="R4" s="148"/>
      <c r="S4" s="148"/>
      <c r="T4" s="9"/>
      <c r="U4" s="9" t="s">
        <v>5</v>
      </c>
    </row>
    <row r="5" spans="1:21" ht="18">
      <c r="A5" s="152" t="s">
        <v>467</v>
      </c>
      <c r="B5" s="1"/>
      <c r="C5" s="50"/>
      <c r="D5" s="50"/>
      <c r="E5" s="50"/>
      <c r="F5" s="50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38"/>
      <c r="U5" s="138"/>
    </row>
    <row r="6" spans="1:21" ht="18">
      <c r="A6" s="153" t="s">
        <v>84</v>
      </c>
      <c r="B6" s="1"/>
      <c r="C6" s="50"/>
      <c r="D6" s="50"/>
      <c r="E6" s="50"/>
      <c r="F6" s="50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38"/>
      <c r="U6" s="138"/>
    </row>
    <row r="7" spans="1:21" ht="18">
      <c r="A7" s="153" t="s">
        <v>468</v>
      </c>
      <c r="B7" s="1"/>
      <c r="C7" s="50"/>
      <c r="D7" s="26"/>
      <c r="E7" s="108"/>
      <c r="F7" s="108"/>
      <c r="G7" s="52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135"/>
      <c r="U7" s="135"/>
    </row>
    <row r="8" spans="1:22" ht="18">
      <c r="A8" s="251" t="s">
        <v>469</v>
      </c>
      <c r="B8" s="1"/>
      <c r="C8" s="50"/>
      <c r="D8" s="26">
        <v>95000</v>
      </c>
      <c r="E8" s="108"/>
      <c r="F8" s="108"/>
      <c r="G8" s="52">
        <f>+D8+E8-F8</f>
        <v>95000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60000</v>
      </c>
      <c r="P8" s="255">
        <v>0</v>
      </c>
      <c r="Q8" s="255">
        <v>0</v>
      </c>
      <c r="R8" s="255">
        <v>0</v>
      </c>
      <c r="S8" s="255">
        <v>0</v>
      </c>
      <c r="T8" s="135">
        <f>SUM(H8:S8)</f>
        <v>60000</v>
      </c>
      <c r="U8" s="135">
        <f>+G8-T8</f>
        <v>35000</v>
      </c>
      <c r="V8" s="302"/>
    </row>
    <row r="9" spans="1:22" ht="18">
      <c r="A9" s="251" t="s">
        <v>470</v>
      </c>
      <c r="B9" s="1"/>
      <c r="C9" s="50"/>
      <c r="D9" s="26">
        <v>300000</v>
      </c>
      <c r="E9" s="108"/>
      <c r="F9" s="108"/>
      <c r="G9" s="52">
        <f>+D9+E9-F9</f>
        <v>300000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0</v>
      </c>
      <c r="Q9" s="255">
        <v>0</v>
      </c>
      <c r="R9" s="255">
        <v>0</v>
      </c>
      <c r="S9" s="255">
        <v>0</v>
      </c>
      <c r="T9" s="135">
        <f>SUM(H9:S9)</f>
        <v>0</v>
      </c>
      <c r="U9" s="135">
        <f>+G9-T9</f>
        <v>300000</v>
      </c>
      <c r="V9" s="302"/>
    </row>
    <row r="10" spans="1:22" ht="18">
      <c r="A10" s="251" t="s">
        <v>471</v>
      </c>
      <c r="B10" s="1"/>
      <c r="C10" s="50"/>
      <c r="D10" s="26">
        <v>50000</v>
      </c>
      <c r="E10" s="108"/>
      <c r="F10" s="108"/>
      <c r="G10" s="52">
        <f>+D10+E10-F10</f>
        <v>50000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135">
        <f>SUM(H10:S10)</f>
        <v>0</v>
      </c>
      <c r="U10" s="135">
        <f>+G10-T10</f>
        <v>50000</v>
      </c>
      <c r="V10" s="302"/>
    </row>
    <row r="11" spans="1:21" ht="18">
      <c r="A11" s="251" t="s">
        <v>472</v>
      </c>
      <c r="B11" s="1"/>
      <c r="C11" s="50"/>
      <c r="D11" s="26">
        <v>115000</v>
      </c>
      <c r="E11" s="108"/>
      <c r="F11" s="108"/>
      <c r="G11" s="52">
        <f aca="true" t="shared" si="0" ref="G11:G19">+D11+E11-F11</f>
        <v>115000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104000</v>
      </c>
      <c r="S11" s="255">
        <v>0</v>
      </c>
      <c r="T11" s="135">
        <f aca="true" t="shared" si="1" ref="T11:T19">SUM(H11:S11)</f>
        <v>104000</v>
      </c>
      <c r="U11" s="135">
        <f aca="true" t="shared" si="2" ref="U11:U19">+G11-T11</f>
        <v>11000</v>
      </c>
    </row>
    <row r="12" spans="1:21" ht="18">
      <c r="A12" s="251" t="s">
        <v>473</v>
      </c>
      <c r="B12" s="1"/>
      <c r="C12" s="50"/>
      <c r="D12" s="26">
        <v>300000</v>
      </c>
      <c r="E12" s="108"/>
      <c r="F12" s="108"/>
      <c r="G12" s="52">
        <f t="shared" si="0"/>
        <v>300000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55">
        <v>0</v>
      </c>
      <c r="R12" s="255">
        <v>0</v>
      </c>
      <c r="S12" s="255">
        <v>0</v>
      </c>
      <c r="T12" s="135">
        <f t="shared" si="1"/>
        <v>0</v>
      </c>
      <c r="U12" s="135">
        <f t="shared" si="2"/>
        <v>300000</v>
      </c>
    </row>
    <row r="13" spans="1:21" ht="18">
      <c r="A13" s="251" t="s">
        <v>474</v>
      </c>
      <c r="B13" s="1"/>
      <c r="C13" s="50"/>
      <c r="D13" s="26">
        <v>100000</v>
      </c>
      <c r="E13" s="108"/>
      <c r="F13" s="108"/>
      <c r="G13" s="52">
        <f t="shared" si="0"/>
        <v>100000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135">
        <f t="shared" si="1"/>
        <v>0</v>
      </c>
      <c r="U13" s="135">
        <f t="shared" si="2"/>
        <v>100000</v>
      </c>
    </row>
    <row r="14" spans="1:21" ht="18">
      <c r="A14" s="251" t="s">
        <v>475</v>
      </c>
      <c r="B14" s="1"/>
      <c r="C14" s="50"/>
      <c r="D14" s="26">
        <v>5000000</v>
      </c>
      <c r="E14" s="108"/>
      <c r="F14" s="108"/>
      <c r="G14" s="52">
        <f t="shared" si="0"/>
        <v>5000000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255">
        <v>0</v>
      </c>
      <c r="S14" s="255">
        <v>0</v>
      </c>
      <c r="T14" s="135">
        <f t="shared" si="1"/>
        <v>0</v>
      </c>
      <c r="U14" s="135">
        <f t="shared" si="2"/>
        <v>5000000</v>
      </c>
    </row>
    <row r="15" spans="1:21" ht="18">
      <c r="A15" s="251"/>
      <c r="B15" s="1"/>
      <c r="C15" s="50"/>
      <c r="D15" s="26"/>
      <c r="E15" s="108"/>
      <c r="F15" s="108"/>
      <c r="G15" s="52">
        <f t="shared" si="0"/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255">
        <v>0</v>
      </c>
      <c r="S15" s="255">
        <v>0</v>
      </c>
      <c r="T15" s="135">
        <f t="shared" si="1"/>
        <v>0</v>
      </c>
      <c r="U15" s="135">
        <f t="shared" si="2"/>
        <v>0</v>
      </c>
    </row>
    <row r="16" spans="1:21" ht="18">
      <c r="A16" s="153" t="s">
        <v>468</v>
      </c>
      <c r="B16" s="1"/>
      <c r="C16" s="50"/>
      <c r="D16" s="26"/>
      <c r="E16" s="108"/>
      <c r="F16" s="108"/>
      <c r="G16" s="52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135"/>
      <c r="U16" s="135"/>
    </row>
    <row r="17" spans="1:21" ht="18">
      <c r="A17" s="251" t="s">
        <v>476</v>
      </c>
      <c r="B17" s="1"/>
      <c r="C17" s="50"/>
      <c r="D17" s="26">
        <v>50000</v>
      </c>
      <c r="E17" s="108"/>
      <c r="F17" s="108"/>
      <c r="G17" s="52">
        <f t="shared" si="0"/>
        <v>50000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  <c r="Q17" s="255">
        <v>0</v>
      </c>
      <c r="R17" s="255">
        <v>47000</v>
      </c>
      <c r="S17" s="255">
        <v>0</v>
      </c>
      <c r="T17" s="135">
        <f t="shared" si="1"/>
        <v>47000</v>
      </c>
      <c r="U17" s="135">
        <f t="shared" si="2"/>
        <v>3000</v>
      </c>
    </row>
    <row r="18" spans="1:21" ht="18">
      <c r="A18" s="251" t="s">
        <v>477</v>
      </c>
      <c r="B18" s="1"/>
      <c r="C18" s="50"/>
      <c r="D18" s="26">
        <v>350000</v>
      </c>
      <c r="E18" s="108"/>
      <c r="F18" s="108"/>
      <c r="G18" s="52">
        <f t="shared" si="0"/>
        <v>350000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  <c r="P18" s="255">
        <v>0</v>
      </c>
      <c r="Q18" s="255">
        <v>0</v>
      </c>
      <c r="R18" s="255">
        <v>0</v>
      </c>
      <c r="S18" s="255">
        <v>0</v>
      </c>
      <c r="T18" s="135">
        <f t="shared" si="1"/>
        <v>0</v>
      </c>
      <c r="U18" s="135">
        <f t="shared" si="2"/>
        <v>350000</v>
      </c>
    </row>
    <row r="19" spans="1:21" ht="18">
      <c r="A19" s="251" t="s">
        <v>478</v>
      </c>
      <c r="B19" s="1"/>
      <c r="C19" s="50"/>
      <c r="D19" s="26">
        <v>100000</v>
      </c>
      <c r="E19" s="108"/>
      <c r="F19" s="108"/>
      <c r="G19" s="52">
        <f t="shared" si="0"/>
        <v>100000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97000</v>
      </c>
      <c r="P19" s="255">
        <v>0</v>
      </c>
      <c r="Q19" s="255">
        <v>0</v>
      </c>
      <c r="R19" s="255">
        <v>0</v>
      </c>
      <c r="S19" s="255">
        <v>0</v>
      </c>
      <c r="T19" s="135">
        <f t="shared" si="1"/>
        <v>97000</v>
      </c>
      <c r="U19" s="135">
        <f t="shared" si="2"/>
        <v>3000</v>
      </c>
    </row>
    <row r="20" spans="1:21" ht="18">
      <c r="A20" s="251" t="s">
        <v>479</v>
      </c>
      <c r="B20" s="1"/>
      <c r="C20" s="50"/>
      <c r="D20" s="26">
        <v>25000</v>
      </c>
      <c r="E20" s="108"/>
      <c r="F20" s="108"/>
      <c r="G20" s="52">
        <f>+D20+E20-F20</f>
        <v>25000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18000</v>
      </c>
      <c r="Q20" s="255">
        <v>0</v>
      </c>
      <c r="R20" s="255">
        <v>0</v>
      </c>
      <c r="S20" s="255">
        <v>0</v>
      </c>
      <c r="T20" s="135">
        <f>SUM(H20:S20)</f>
        <v>18000</v>
      </c>
      <c r="U20" s="135">
        <f>+G20-T20</f>
        <v>7000</v>
      </c>
    </row>
    <row r="21" spans="1:21" ht="18">
      <c r="A21" s="251" t="s">
        <v>480</v>
      </c>
      <c r="B21" s="1"/>
      <c r="C21" s="50"/>
      <c r="D21" s="26">
        <v>55000</v>
      </c>
      <c r="E21" s="108"/>
      <c r="F21" s="108"/>
      <c r="G21" s="52">
        <f>+D21+E21-F21</f>
        <v>55000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34000</v>
      </c>
      <c r="S21" s="255">
        <v>0</v>
      </c>
      <c r="T21" s="135">
        <f>SUM(H21:S21)</f>
        <v>34000</v>
      </c>
      <c r="U21" s="135">
        <f>+G21-T21</f>
        <v>21000</v>
      </c>
    </row>
    <row r="22" spans="1:21" ht="18">
      <c r="A22" s="251" t="s">
        <v>481</v>
      </c>
      <c r="B22" s="1"/>
      <c r="C22" s="50"/>
      <c r="D22" s="26">
        <v>600000</v>
      </c>
      <c r="E22" s="108"/>
      <c r="F22" s="108"/>
      <c r="G22" s="52">
        <f>+D22+E22-F22</f>
        <v>600000</v>
      </c>
      <c r="H22" s="255">
        <v>0</v>
      </c>
      <c r="I22" s="255">
        <v>0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v>0</v>
      </c>
      <c r="S22" s="255">
        <v>0</v>
      </c>
      <c r="T22" s="135">
        <f>SUM(H22:S22)</f>
        <v>0</v>
      </c>
      <c r="U22" s="135">
        <f>+G22-T22</f>
        <v>600000</v>
      </c>
    </row>
    <row r="23" spans="1:21" ht="18">
      <c r="A23" s="153"/>
      <c r="B23" s="1"/>
      <c r="C23" s="50"/>
      <c r="D23" s="26"/>
      <c r="E23" s="108"/>
      <c r="F23" s="108"/>
      <c r="G23" s="52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135"/>
      <c r="U23" s="135"/>
    </row>
    <row r="24" spans="1:21" ht="18">
      <c r="A24" s="153"/>
      <c r="B24" s="1"/>
      <c r="C24" s="50"/>
      <c r="D24" s="26"/>
      <c r="E24" s="108"/>
      <c r="F24" s="108"/>
      <c r="G24" s="52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135"/>
      <c r="U24" s="135"/>
    </row>
    <row r="25" spans="1:21" ht="18">
      <c r="A25" s="251"/>
      <c r="B25" s="1"/>
      <c r="C25" s="50"/>
      <c r="D25" s="26"/>
      <c r="E25" s="108"/>
      <c r="F25" s="108"/>
      <c r="G25" s="52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135"/>
      <c r="U25" s="135"/>
    </row>
    <row r="26" spans="1:21" ht="18">
      <c r="A26" s="153"/>
      <c r="B26" s="1"/>
      <c r="C26" s="50"/>
      <c r="D26" s="26"/>
      <c r="E26" s="108"/>
      <c r="F26" s="108"/>
      <c r="G26" s="52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135"/>
      <c r="U26" s="135"/>
    </row>
    <row r="27" spans="1:21" ht="18">
      <c r="A27" s="352"/>
      <c r="B27" s="1"/>
      <c r="C27" s="50"/>
      <c r="D27" s="26"/>
      <c r="E27" s="108"/>
      <c r="F27" s="108"/>
      <c r="G27" s="52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135"/>
      <c r="U27" s="135"/>
    </row>
    <row r="28" spans="1:21" ht="18">
      <c r="A28" s="251"/>
      <c r="B28" s="1"/>
      <c r="C28" s="50"/>
      <c r="D28" s="26"/>
      <c r="E28" s="108"/>
      <c r="F28" s="108"/>
      <c r="G28" s="52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135"/>
      <c r="U28" s="135"/>
    </row>
    <row r="29" spans="1:21" ht="18">
      <c r="A29" s="153"/>
      <c r="B29" s="1"/>
      <c r="C29" s="50"/>
      <c r="D29" s="26"/>
      <c r="E29" s="108"/>
      <c r="F29" s="108"/>
      <c r="G29" s="52"/>
      <c r="H29" s="255">
        <v>0</v>
      </c>
      <c r="I29" s="255">
        <v>0</v>
      </c>
      <c r="J29" s="255">
        <v>0</v>
      </c>
      <c r="K29" s="255">
        <v>0</v>
      </c>
      <c r="L29" s="255">
        <v>0</v>
      </c>
      <c r="M29" s="255">
        <v>0</v>
      </c>
      <c r="N29" s="255">
        <v>0</v>
      </c>
      <c r="O29" s="255">
        <v>0</v>
      </c>
      <c r="P29" s="255">
        <v>0</v>
      </c>
      <c r="Q29" s="255">
        <v>0</v>
      </c>
      <c r="R29" s="255">
        <v>0</v>
      </c>
      <c r="S29" s="255">
        <v>0</v>
      </c>
      <c r="T29" s="135"/>
      <c r="U29" s="135"/>
    </row>
    <row r="30" spans="1:21" ht="18">
      <c r="A30" s="251"/>
      <c r="B30" s="1"/>
      <c r="C30" s="50"/>
      <c r="D30" s="26"/>
      <c r="E30" s="108"/>
      <c r="F30" s="108"/>
      <c r="G30" s="52">
        <f>+D30+E30-F30</f>
        <v>0</v>
      </c>
      <c r="H30" s="255">
        <v>0</v>
      </c>
      <c r="I30" s="255">
        <v>0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0</v>
      </c>
      <c r="P30" s="255">
        <v>0</v>
      </c>
      <c r="Q30" s="255">
        <v>0</v>
      </c>
      <c r="R30" s="255">
        <v>0</v>
      </c>
      <c r="S30" s="255">
        <v>0</v>
      </c>
      <c r="T30" s="135">
        <f>SUM(H30:S30)</f>
        <v>0</v>
      </c>
      <c r="U30" s="135">
        <f>+G30-T30</f>
        <v>0</v>
      </c>
    </row>
    <row r="31" spans="1:21" ht="18">
      <c r="A31" s="152"/>
      <c r="B31" s="1"/>
      <c r="C31" s="50"/>
      <c r="D31" s="26"/>
      <c r="E31" s="108"/>
      <c r="F31" s="108"/>
      <c r="G31" s="52"/>
      <c r="H31" s="255">
        <v>0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  <c r="Q31" s="255">
        <v>0</v>
      </c>
      <c r="R31" s="255">
        <v>0</v>
      </c>
      <c r="S31" s="255">
        <v>0</v>
      </c>
      <c r="T31" s="135"/>
      <c r="U31" s="135"/>
    </row>
    <row r="32" spans="1:21" ht="18">
      <c r="A32" s="153"/>
      <c r="B32" s="1"/>
      <c r="C32" s="50"/>
      <c r="D32" s="26"/>
      <c r="E32" s="108"/>
      <c r="F32" s="108"/>
      <c r="G32" s="52"/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255">
        <v>0</v>
      </c>
      <c r="S32" s="255">
        <v>0</v>
      </c>
      <c r="T32" s="135"/>
      <c r="U32" s="135"/>
    </row>
    <row r="33" spans="1:21" ht="18">
      <c r="A33" s="153"/>
      <c r="B33" s="1"/>
      <c r="C33" s="50"/>
      <c r="D33" s="26"/>
      <c r="E33" s="108"/>
      <c r="F33" s="108"/>
      <c r="G33" s="52"/>
      <c r="H33" s="255">
        <v>0</v>
      </c>
      <c r="I33" s="255">
        <v>0</v>
      </c>
      <c r="J33" s="255">
        <v>0</v>
      </c>
      <c r="K33" s="255">
        <v>0</v>
      </c>
      <c r="L33" s="255">
        <v>0</v>
      </c>
      <c r="M33" s="255">
        <v>0</v>
      </c>
      <c r="N33" s="255">
        <v>0</v>
      </c>
      <c r="O33" s="255">
        <v>0</v>
      </c>
      <c r="P33" s="255">
        <v>0</v>
      </c>
      <c r="Q33" s="255">
        <v>0</v>
      </c>
      <c r="R33" s="255">
        <v>0</v>
      </c>
      <c r="S33" s="255">
        <v>0</v>
      </c>
      <c r="T33" s="135"/>
      <c r="U33" s="135"/>
    </row>
    <row r="34" spans="1:21" ht="18">
      <c r="A34" s="352"/>
      <c r="B34" s="1"/>
      <c r="C34" s="50"/>
      <c r="D34" s="26"/>
      <c r="E34" s="108"/>
      <c r="F34" s="108"/>
      <c r="G34" s="52">
        <f>D34</f>
        <v>0</v>
      </c>
      <c r="H34" s="255">
        <v>0</v>
      </c>
      <c r="I34" s="255">
        <v>0</v>
      </c>
      <c r="J34" s="255">
        <v>0</v>
      </c>
      <c r="K34" s="255">
        <v>0</v>
      </c>
      <c r="L34" s="255">
        <v>0</v>
      </c>
      <c r="M34" s="255">
        <v>0</v>
      </c>
      <c r="N34" s="255">
        <v>0</v>
      </c>
      <c r="O34" s="255">
        <v>0</v>
      </c>
      <c r="P34" s="255">
        <v>0</v>
      </c>
      <c r="Q34" s="255">
        <v>0</v>
      </c>
      <c r="R34" s="255">
        <v>0</v>
      </c>
      <c r="S34" s="255">
        <v>0</v>
      </c>
      <c r="T34" s="135">
        <f>SUM(H34:S34)</f>
        <v>0</v>
      </c>
      <c r="U34" s="135">
        <f>+G34-T34</f>
        <v>0</v>
      </c>
    </row>
    <row r="35" spans="1:21" ht="18">
      <c r="A35" s="251"/>
      <c r="B35" s="1"/>
      <c r="C35" s="50"/>
      <c r="D35" s="26"/>
      <c r="E35" s="108"/>
      <c r="F35" s="108"/>
      <c r="G35" s="52">
        <f>D35</f>
        <v>0</v>
      </c>
      <c r="H35" s="255">
        <v>0</v>
      </c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5">
        <v>0</v>
      </c>
      <c r="O35" s="255">
        <v>0</v>
      </c>
      <c r="P35" s="255">
        <v>0</v>
      </c>
      <c r="Q35" s="255">
        <v>0</v>
      </c>
      <c r="R35" s="255">
        <v>0</v>
      </c>
      <c r="S35" s="255">
        <v>0</v>
      </c>
      <c r="T35" s="135">
        <f>SUM(H35:S35)</f>
        <v>0</v>
      </c>
      <c r="U35" s="135">
        <f>+G35-T35</f>
        <v>0</v>
      </c>
    </row>
    <row r="36" spans="1:21" ht="18">
      <c r="A36" s="251"/>
      <c r="B36" s="1"/>
      <c r="C36" s="50"/>
      <c r="D36" s="26"/>
      <c r="E36" s="108"/>
      <c r="F36" s="108"/>
      <c r="G36" s="52">
        <f>D36</f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255">
        <v>0</v>
      </c>
      <c r="P36" s="255">
        <v>0</v>
      </c>
      <c r="Q36" s="255">
        <v>0</v>
      </c>
      <c r="R36" s="255">
        <v>0</v>
      </c>
      <c r="S36" s="255">
        <v>0</v>
      </c>
      <c r="T36" s="135">
        <f>SUM(H36:S36)</f>
        <v>0</v>
      </c>
      <c r="U36" s="135">
        <f>+G36-T36</f>
        <v>0</v>
      </c>
    </row>
    <row r="37" spans="1:21" ht="18">
      <c r="A37" s="251"/>
      <c r="B37" s="1"/>
      <c r="C37" s="50"/>
      <c r="D37" s="26"/>
      <c r="E37" s="108"/>
      <c r="F37" s="108"/>
      <c r="G37" s="52"/>
      <c r="H37" s="255">
        <v>0</v>
      </c>
      <c r="I37" s="255">
        <v>0</v>
      </c>
      <c r="J37" s="255">
        <v>0</v>
      </c>
      <c r="K37" s="255">
        <v>0</v>
      </c>
      <c r="L37" s="255">
        <v>0</v>
      </c>
      <c r="M37" s="255">
        <v>0</v>
      </c>
      <c r="N37" s="255">
        <v>0</v>
      </c>
      <c r="O37" s="255">
        <v>0</v>
      </c>
      <c r="P37" s="255">
        <v>0</v>
      </c>
      <c r="Q37" s="255">
        <v>0</v>
      </c>
      <c r="R37" s="255">
        <v>0</v>
      </c>
      <c r="S37" s="255">
        <v>0</v>
      </c>
      <c r="T37" s="135"/>
      <c r="U37" s="135"/>
    </row>
    <row r="38" spans="1:21" ht="18">
      <c r="A38" s="251" t="s">
        <v>323</v>
      </c>
      <c r="B38" s="1"/>
      <c r="C38" s="50"/>
      <c r="D38" s="26"/>
      <c r="E38" s="108"/>
      <c r="F38" s="108"/>
      <c r="G38" s="52">
        <f>+D38+E38-F38</f>
        <v>0</v>
      </c>
      <c r="H38" s="255">
        <v>0</v>
      </c>
      <c r="I38" s="255">
        <v>0</v>
      </c>
      <c r="J38" s="255">
        <v>0</v>
      </c>
      <c r="K38" s="255">
        <v>0</v>
      </c>
      <c r="L38" s="255">
        <v>0</v>
      </c>
      <c r="M38" s="255">
        <v>0</v>
      </c>
      <c r="N38" s="255">
        <v>0</v>
      </c>
      <c r="O38" s="255">
        <v>0</v>
      </c>
      <c r="P38" s="255">
        <v>0</v>
      </c>
      <c r="Q38" s="255">
        <v>0</v>
      </c>
      <c r="R38" s="255">
        <v>0</v>
      </c>
      <c r="S38" s="255">
        <v>0</v>
      </c>
      <c r="T38" s="135">
        <f>SUM(H38:S38)</f>
        <v>0</v>
      </c>
      <c r="U38" s="135">
        <f>+G38-T38</f>
        <v>0</v>
      </c>
    </row>
    <row r="39" spans="1:21" ht="18">
      <c r="A39" s="251"/>
      <c r="B39" s="1"/>
      <c r="C39" s="50"/>
      <c r="D39" s="26"/>
      <c r="E39" s="108"/>
      <c r="F39" s="108"/>
      <c r="G39" s="52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135"/>
      <c r="U39" s="135"/>
    </row>
    <row r="40" spans="1:21" ht="18">
      <c r="A40" s="251"/>
      <c r="B40" s="1"/>
      <c r="C40" s="50"/>
      <c r="D40" s="26"/>
      <c r="E40" s="108"/>
      <c r="F40" s="108"/>
      <c r="G40" s="52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135"/>
      <c r="U40" s="135"/>
    </row>
    <row r="41" spans="1:21" ht="18">
      <c r="A41" s="10"/>
      <c r="B41" s="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135"/>
      <c r="U41" s="135"/>
    </row>
    <row r="42" spans="1:21" ht="18.75" thickBot="1">
      <c r="A42" s="10"/>
      <c r="B42" s="1"/>
      <c r="C42" s="50"/>
      <c r="D42" s="50" t="s">
        <v>7</v>
      </c>
      <c r="E42" s="50"/>
      <c r="F42" s="50"/>
      <c r="G42" s="277">
        <f>SUM(G8:G41)</f>
        <v>7140000</v>
      </c>
      <c r="H42" s="277">
        <f aca="true" t="shared" si="3" ref="H42:U42">SUM(H8:H41)</f>
        <v>0</v>
      </c>
      <c r="I42" s="277">
        <f t="shared" si="3"/>
        <v>0</v>
      </c>
      <c r="J42" s="277">
        <f t="shared" si="3"/>
        <v>0</v>
      </c>
      <c r="K42" s="277">
        <f t="shared" si="3"/>
        <v>0</v>
      </c>
      <c r="L42" s="277">
        <f t="shared" si="3"/>
        <v>0</v>
      </c>
      <c r="M42" s="277">
        <f>SUM(M8:M41)</f>
        <v>0</v>
      </c>
      <c r="N42" s="277">
        <f t="shared" si="3"/>
        <v>0</v>
      </c>
      <c r="O42" s="277">
        <f t="shared" si="3"/>
        <v>157000</v>
      </c>
      <c r="P42" s="277">
        <f t="shared" si="3"/>
        <v>18000</v>
      </c>
      <c r="Q42" s="277">
        <f t="shared" si="3"/>
        <v>0</v>
      </c>
      <c r="R42" s="277">
        <f t="shared" si="3"/>
        <v>185000</v>
      </c>
      <c r="S42" s="277">
        <f t="shared" si="3"/>
        <v>0</v>
      </c>
      <c r="T42" s="277">
        <f t="shared" si="3"/>
        <v>360000</v>
      </c>
      <c r="U42" s="277">
        <f t="shared" si="3"/>
        <v>6780000</v>
      </c>
    </row>
    <row r="43" spans="1:21" ht="18.75" thickTop="1">
      <c r="A43" s="239"/>
      <c r="B43" s="14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8">
      <c r="A44" s="239"/>
      <c r="B44" s="141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</row>
    <row r="45" spans="1:21" ht="18">
      <c r="A45" s="239"/>
      <c r="B45" s="141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ht="18">
      <c r="A46" s="303"/>
      <c r="B46" s="141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ht="18">
      <c r="A47" s="239"/>
      <c r="B47" s="141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8">
      <c r="A48" s="239"/>
      <c r="B48" s="141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1" ht="18">
      <c r="A49" s="239"/>
      <c r="B49" s="141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1" ht="18">
      <c r="A50" s="239"/>
      <c r="B50" s="141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1:21" ht="18">
      <c r="A51" s="239"/>
      <c r="B51" s="141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ht="18">
      <c r="A52" s="239"/>
      <c r="B52" s="141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1" ht="18">
      <c r="A53" s="239"/>
      <c r="B53" s="141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1:21" ht="18">
      <c r="A54" s="239"/>
      <c r="B54" s="141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ht="18">
      <c r="A55" s="239"/>
      <c r="B55" s="141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21" ht="18">
      <c r="A56" s="239"/>
      <c r="B56" s="141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8">
      <c r="A57" s="239"/>
      <c r="B57" s="141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1:21" ht="18">
      <c r="A58" s="239"/>
      <c r="B58" s="141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ht="18">
      <c r="A59" s="239"/>
      <c r="B59" s="141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1:21" ht="18">
      <c r="A60" s="239"/>
      <c r="B60" s="141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1:21" ht="17.25" customHeight="1">
      <c r="A61" s="239"/>
      <c r="B61" s="141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7.25" customHeight="1">
      <c r="A62" s="239"/>
      <c r="B62" s="141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7.25" customHeight="1">
      <c r="A63" s="239"/>
      <c r="B63" s="141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7.25" customHeight="1">
      <c r="A64" s="239"/>
      <c r="B64" s="141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7.25" customHeight="1">
      <c r="A65" s="239"/>
      <c r="B65" s="141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7.25" customHeight="1">
      <c r="A66" s="239"/>
      <c r="B66" s="141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">
      <c r="A67" s="239"/>
      <c r="B67" s="141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">
      <c r="A68" s="239"/>
      <c r="B68" s="141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8">
      <c r="A69" s="239"/>
      <c r="B69" s="141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8">
      <c r="A70" s="239"/>
      <c r="B70" s="141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8">
      <c r="A71" s="239"/>
      <c r="B71" s="141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ht="18">
      <c r="A72" s="239"/>
      <c r="B72" s="141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8">
      <c r="A73" s="239"/>
      <c r="B73" s="141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8">
      <c r="A74" s="239"/>
      <c r="B74" s="141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1:21" ht="18">
      <c r="A75" s="239"/>
      <c r="B75" s="141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8">
      <c r="A76" s="239"/>
      <c r="B76" s="141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8">
      <c r="A77" s="239"/>
      <c r="B77" s="141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</row>
    <row r="78" spans="1:21" ht="18">
      <c r="A78" s="239"/>
      <c r="B78" s="141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8">
      <c r="A79" s="239"/>
      <c r="B79" s="141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8">
      <c r="A80" s="239"/>
      <c r="B80" s="141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</row>
    <row r="81" spans="1:21" ht="18">
      <c r="A81" s="239"/>
      <c r="B81" s="141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8">
      <c r="A82" s="239"/>
      <c r="B82" s="141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18">
      <c r="A83" s="239"/>
      <c r="B83" s="141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</row>
    <row r="84" spans="1:21" ht="18">
      <c r="A84" s="239"/>
      <c r="B84" s="141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</row>
    <row r="85" spans="1:21" ht="18">
      <c r="A85" s="239"/>
      <c r="B85" s="141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</row>
    <row r="86" spans="1:21" ht="18">
      <c r="A86" s="239"/>
      <c r="B86" s="141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</row>
    <row r="87" spans="1:21" ht="18">
      <c r="A87" s="239"/>
      <c r="B87" s="141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1:21" ht="18">
      <c r="A88" s="239"/>
      <c r="B88" s="141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8">
      <c r="A89" s="239"/>
      <c r="B89" s="141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</row>
    <row r="90" spans="1:21" ht="18">
      <c r="A90" s="239"/>
      <c r="B90" s="141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1:21" ht="18">
      <c r="A91" s="239"/>
      <c r="B91" s="141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spans="1:21" ht="18">
      <c r="A92" s="239"/>
      <c r="B92" s="141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</row>
    <row r="93" spans="1:21" ht="18">
      <c r="A93" s="239"/>
      <c r="B93" s="141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</row>
    <row r="94" spans="1:21" ht="18">
      <c r="A94" s="239"/>
      <c r="B94" s="141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8">
      <c r="A95" s="239"/>
      <c r="B95" s="141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</row>
    <row r="96" spans="1:21" ht="18">
      <c r="A96" s="239"/>
      <c r="B96" s="141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8">
      <c r="A97" s="239"/>
      <c r="B97" s="141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</row>
    <row r="98" spans="1:21" ht="18">
      <c r="A98" s="239"/>
      <c r="B98" s="141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</row>
    <row r="99" spans="1:21" ht="18">
      <c r="A99" s="239"/>
      <c r="B99" s="141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</row>
    <row r="100" spans="1:21" ht="21">
      <c r="A100" s="88"/>
      <c r="B100" s="78"/>
      <c r="C100" s="157"/>
      <c r="D100" s="85"/>
      <c r="E100" s="85"/>
      <c r="F100" s="85"/>
      <c r="G100" s="147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174"/>
      <c r="U100" s="174"/>
    </row>
    <row r="101" spans="1:21" ht="21">
      <c r="A101" s="88"/>
      <c r="B101" s="78"/>
      <c r="C101" s="157"/>
      <c r="D101" s="85"/>
      <c r="E101" s="85"/>
      <c r="F101" s="85"/>
      <c r="G101" s="147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174"/>
      <c r="U101" s="174"/>
    </row>
    <row r="102" spans="1:21" ht="21">
      <c r="A102" s="88"/>
      <c r="B102" s="78"/>
      <c r="C102" s="157"/>
      <c r="D102" s="85"/>
      <c r="E102" s="85"/>
      <c r="F102" s="85"/>
      <c r="G102" s="147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174"/>
      <c r="U102" s="174"/>
    </row>
    <row r="103" spans="1:21" ht="21">
      <c r="A103" s="88"/>
      <c r="B103" s="78"/>
      <c r="C103" s="157"/>
      <c r="D103" s="85"/>
      <c r="E103" s="85"/>
      <c r="F103" s="85"/>
      <c r="G103" s="147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174"/>
      <c r="U103" s="174"/>
    </row>
    <row r="104" spans="1:21" ht="21">
      <c r="A104" s="88"/>
      <c r="B104" s="78"/>
      <c r="C104" s="157"/>
      <c r="D104" s="85"/>
      <c r="E104" s="85"/>
      <c r="F104" s="85"/>
      <c r="G104" s="147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174"/>
      <c r="U104" s="174"/>
    </row>
    <row r="105" spans="1:21" ht="21">
      <c r="A105" s="88"/>
      <c r="B105" s="78"/>
      <c r="C105" s="157"/>
      <c r="D105" s="85"/>
      <c r="E105" s="85"/>
      <c r="F105" s="85"/>
      <c r="G105" s="147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174"/>
      <c r="U105" s="174"/>
    </row>
    <row r="106" spans="1:21" ht="21">
      <c r="A106" s="88"/>
      <c r="B106" s="78"/>
      <c r="C106" s="157"/>
      <c r="D106" s="85"/>
      <c r="E106" s="85"/>
      <c r="F106" s="85"/>
      <c r="G106" s="147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174"/>
      <c r="U106" s="174"/>
    </row>
    <row r="107" spans="1:21" ht="21">
      <c r="A107" s="88"/>
      <c r="B107" s="78"/>
      <c r="C107" s="157"/>
      <c r="D107" s="85"/>
      <c r="E107" s="85"/>
      <c r="F107" s="85"/>
      <c r="G107" s="147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174"/>
      <c r="U107" s="174"/>
    </row>
    <row r="108" spans="1:21" ht="21">
      <c r="A108" s="88"/>
      <c r="B108" s="78"/>
      <c r="C108" s="157"/>
      <c r="D108" s="85"/>
      <c r="E108" s="85"/>
      <c r="F108" s="85"/>
      <c r="G108" s="147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174"/>
      <c r="U108" s="174"/>
    </row>
    <row r="109" spans="1:21" ht="21">
      <c r="A109" s="88"/>
      <c r="B109" s="78"/>
      <c r="C109" s="157"/>
      <c r="D109" s="85"/>
      <c r="E109" s="85"/>
      <c r="F109" s="85"/>
      <c r="G109" s="147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174"/>
      <c r="U109" s="174"/>
    </row>
  </sheetData>
  <sheetProtection/>
  <mergeCells count="4">
    <mergeCell ref="A1:U1"/>
    <mergeCell ref="A3:A4"/>
    <mergeCell ref="C3:D3"/>
    <mergeCell ref="A2:U2"/>
  </mergeCells>
  <printOptions/>
  <pageMargins left="0.5905511811023623" right="0.15748031496062992" top="0" bottom="0" header="0.5905511811023623" footer="0.4330708661417323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143"/>
  <sheetViews>
    <sheetView zoomScaleSheetLayoutView="90" zoomScalePageLayoutView="0" workbookViewId="0" topLeftCell="C106">
      <selection activeCell="B121" sqref="B121"/>
    </sheetView>
  </sheetViews>
  <sheetFormatPr defaultColWidth="9.140625" defaultRowHeight="23.25"/>
  <cols>
    <col min="1" max="1" width="42.00390625" style="29" customWidth="1"/>
    <col min="2" max="2" width="10.28125" style="29" customWidth="1"/>
    <col min="3" max="3" width="8.8515625" style="29" customWidth="1"/>
    <col min="4" max="4" width="9.00390625" style="29" customWidth="1"/>
    <col min="5" max="5" width="10.421875" style="373" customWidth="1"/>
    <col min="6" max="10" width="9.00390625" style="29" customWidth="1"/>
    <col min="11" max="11" width="9.57421875" style="29" customWidth="1"/>
    <col min="12" max="16" width="9.00390625" style="29" customWidth="1"/>
    <col min="17" max="17" width="9.57421875" style="29" customWidth="1"/>
    <col min="18" max="18" width="10.57421875" style="373" customWidth="1"/>
    <col min="19" max="19" width="10.00390625" style="373" customWidth="1"/>
    <col min="20" max="20" width="9.8515625" style="29" bestFit="1" customWidth="1"/>
    <col min="21" max="16384" width="9.140625" style="29" customWidth="1"/>
  </cols>
  <sheetData>
    <row r="1" spans="1:19" ht="21" customHeight="1">
      <c r="A1" s="658" t="s">
        <v>489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</row>
    <row r="2" spans="1:19" s="142" customFormat="1" ht="21" customHeight="1">
      <c r="A2" s="659" t="s">
        <v>4</v>
      </c>
      <c r="B2" s="363"/>
      <c r="C2" s="124" t="s">
        <v>9</v>
      </c>
      <c r="D2" s="120" t="s">
        <v>9</v>
      </c>
      <c r="E2" s="363" t="s">
        <v>25</v>
      </c>
      <c r="F2" s="120" t="s">
        <v>26</v>
      </c>
      <c r="G2" s="120" t="s">
        <v>27</v>
      </c>
      <c r="H2" s="121" t="s">
        <v>28</v>
      </c>
      <c r="I2" s="120" t="s">
        <v>29</v>
      </c>
      <c r="J2" s="120" t="s">
        <v>30</v>
      </c>
      <c r="K2" s="120" t="s">
        <v>31</v>
      </c>
      <c r="L2" s="120" t="s">
        <v>32</v>
      </c>
      <c r="M2" s="120" t="s">
        <v>33</v>
      </c>
      <c r="N2" s="120" t="s">
        <v>34</v>
      </c>
      <c r="O2" s="120" t="s">
        <v>35</v>
      </c>
      <c r="P2" s="120" t="s">
        <v>36</v>
      </c>
      <c r="Q2" s="120" t="s">
        <v>37</v>
      </c>
      <c r="R2" s="364" t="s">
        <v>25</v>
      </c>
      <c r="S2" s="365" t="s">
        <v>6</v>
      </c>
    </row>
    <row r="3" spans="1:19" s="142" customFormat="1" ht="21" customHeight="1">
      <c r="A3" s="660"/>
      <c r="B3" s="94" t="s">
        <v>53</v>
      </c>
      <c r="C3" s="126" t="s">
        <v>10</v>
      </c>
      <c r="D3" s="95" t="s">
        <v>11</v>
      </c>
      <c r="E3" s="361"/>
      <c r="F3" s="182"/>
      <c r="G3" s="182"/>
      <c r="H3" s="172"/>
      <c r="I3" s="182"/>
      <c r="J3" s="182"/>
      <c r="K3" s="182"/>
      <c r="L3" s="182"/>
      <c r="M3" s="182"/>
      <c r="N3" s="182"/>
      <c r="O3" s="182"/>
      <c r="P3" s="182"/>
      <c r="Q3" s="182"/>
      <c r="R3" s="122"/>
      <c r="S3" s="128" t="s">
        <v>5</v>
      </c>
    </row>
    <row r="4" spans="1:19" s="142" customFormat="1" ht="21" customHeight="1">
      <c r="A4" s="7" t="s">
        <v>132</v>
      </c>
      <c r="B4" s="94"/>
      <c r="C4" s="126"/>
      <c r="D4" s="95"/>
      <c r="E4" s="361"/>
      <c r="F4" s="182"/>
      <c r="G4" s="182"/>
      <c r="H4" s="172"/>
      <c r="I4" s="182"/>
      <c r="J4" s="182"/>
      <c r="K4" s="182"/>
      <c r="L4" s="182"/>
      <c r="M4" s="182"/>
      <c r="N4" s="182"/>
      <c r="O4" s="182"/>
      <c r="P4" s="182"/>
      <c r="Q4" s="182"/>
      <c r="R4" s="122"/>
      <c r="S4" s="128"/>
    </row>
    <row r="5" spans="1:20" ht="21" customHeight="1">
      <c r="A5" s="30" t="s">
        <v>48</v>
      </c>
      <c r="B5" s="301">
        <v>514080</v>
      </c>
      <c r="C5" s="37"/>
      <c r="D5" s="37"/>
      <c r="E5" s="37">
        <f>+B5+C5-D5</f>
        <v>514080</v>
      </c>
      <c r="F5" s="26">
        <v>42840</v>
      </c>
      <c r="G5" s="26">
        <v>42840</v>
      </c>
      <c r="H5" s="26">
        <v>42840</v>
      </c>
      <c r="I5" s="26">
        <v>42840</v>
      </c>
      <c r="J5" s="26">
        <v>42840</v>
      </c>
      <c r="K5" s="26">
        <v>42840</v>
      </c>
      <c r="L5" s="26">
        <v>42840</v>
      </c>
      <c r="M5" s="26">
        <v>42840</v>
      </c>
      <c r="N5" s="26">
        <v>42840</v>
      </c>
      <c r="O5" s="26">
        <v>42840</v>
      </c>
      <c r="P5" s="26">
        <v>42840</v>
      </c>
      <c r="Q5" s="26">
        <v>42840</v>
      </c>
      <c r="R5" s="135">
        <f aca="true" t="shared" si="0" ref="R5:R13">SUM(F5:Q5)</f>
        <v>514080</v>
      </c>
      <c r="S5" s="135">
        <f aca="true" t="shared" si="1" ref="S5:S13">+E5-R5</f>
        <v>0</v>
      </c>
      <c r="T5" s="375"/>
    </row>
    <row r="6" spans="1:19" ht="21" customHeight="1">
      <c r="A6" s="30" t="s">
        <v>124</v>
      </c>
      <c r="B6" s="301">
        <v>42120</v>
      </c>
      <c r="C6" s="37"/>
      <c r="D6" s="37"/>
      <c r="E6" s="37">
        <f>+B6+C6-D6</f>
        <v>42120</v>
      </c>
      <c r="F6" s="26">
        <v>3510</v>
      </c>
      <c r="G6" s="26">
        <v>3510</v>
      </c>
      <c r="H6" s="26">
        <v>3510</v>
      </c>
      <c r="I6" s="26">
        <v>3510</v>
      </c>
      <c r="J6" s="26">
        <v>3510</v>
      </c>
      <c r="K6" s="26">
        <v>3510</v>
      </c>
      <c r="L6" s="26">
        <v>3510</v>
      </c>
      <c r="M6" s="26">
        <v>3510</v>
      </c>
      <c r="N6" s="26">
        <v>3510</v>
      </c>
      <c r="O6" s="26">
        <v>3510</v>
      </c>
      <c r="P6" s="26">
        <v>3510</v>
      </c>
      <c r="Q6" s="26">
        <v>3510</v>
      </c>
      <c r="R6" s="135">
        <f t="shared" si="0"/>
        <v>42120</v>
      </c>
      <c r="S6" s="135">
        <f t="shared" si="1"/>
        <v>0</v>
      </c>
    </row>
    <row r="7" spans="1:19" ht="21" customHeight="1">
      <c r="A7" s="30" t="s">
        <v>127</v>
      </c>
      <c r="B7" s="301">
        <v>42120</v>
      </c>
      <c r="C7" s="37"/>
      <c r="D7" s="37"/>
      <c r="E7" s="37">
        <f>+B7+C7-D7</f>
        <v>42120</v>
      </c>
      <c r="F7" s="26">
        <v>3510</v>
      </c>
      <c r="G7" s="26">
        <v>3510</v>
      </c>
      <c r="H7" s="26">
        <v>3510</v>
      </c>
      <c r="I7" s="26">
        <v>3510</v>
      </c>
      <c r="J7" s="26">
        <v>3510</v>
      </c>
      <c r="K7" s="26">
        <v>3510</v>
      </c>
      <c r="L7" s="26">
        <v>3510</v>
      </c>
      <c r="M7" s="26">
        <v>3510</v>
      </c>
      <c r="N7" s="26">
        <v>3510</v>
      </c>
      <c r="O7" s="26">
        <v>3510</v>
      </c>
      <c r="P7" s="26">
        <v>3510</v>
      </c>
      <c r="Q7" s="26">
        <v>3510</v>
      </c>
      <c r="R7" s="135">
        <f t="shared" si="0"/>
        <v>42120</v>
      </c>
      <c r="S7" s="135">
        <f t="shared" si="1"/>
        <v>0</v>
      </c>
    </row>
    <row r="8" spans="1:19" ht="21" customHeight="1">
      <c r="A8" s="30" t="s">
        <v>128</v>
      </c>
      <c r="B8" s="301">
        <v>86400</v>
      </c>
      <c r="C8" s="37"/>
      <c r="D8" s="37"/>
      <c r="E8" s="37">
        <f>+B8+C8-D8</f>
        <v>86400</v>
      </c>
      <c r="F8" s="26">
        <v>7200</v>
      </c>
      <c r="G8" s="26">
        <v>7200</v>
      </c>
      <c r="H8" s="26">
        <v>7200</v>
      </c>
      <c r="I8" s="26">
        <v>7200</v>
      </c>
      <c r="J8" s="26">
        <v>7200</v>
      </c>
      <c r="K8" s="26">
        <v>7200</v>
      </c>
      <c r="L8" s="26">
        <v>7200</v>
      </c>
      <c r="M8" s="26">
        <v>7200</v>
      </c>
      <c r="N8" s="26">
        <v>7200</v>
      </c>
      <c r="O8" s="26">
        <v>7200</v>
      </c>
      <c r="P8" s="26">
        <v>7200</v>
      </c>
      <c r="Q8" s="26">
        <v>7200</v>
      </c>
      <c r="R8" s="135">
        <f t="shared" si="0"/>
        <v>86400</v>
      </c>
      <c r="S8" s="135">
        <f t="shared" si="1"/>
        <v>0</v>
      </c>
    </row>
    <row r="9" spans="1:19" ht="21" customHeight="1">
      <c r="A9" s="30" t="s">
        <v>130</v>
      </c>
      <c r="B9" s="301">
        <v>1800000</v>
      </c>
      <c r="C9" s="37"/>
      <c r="D9" s="37"/>
      <c r="E9" s="37">
        <f>+B9+C9-D9</f>
        <v>1800000</v>
      </c>
      <c r="F9" s="26">
        <v>150000</v>
      </c>
      <c r="G9" s="26">
        <v>150000</v>
      </c>
      <c r="H9" s="26">
        <v>150000</v>
      </c>
      <c r="I9" s="26">
        <v>150000</v>
      </c>
      <c r="J9" s="26">
        <v>150000</v>
      </c>
      <c r="K9" s="26">
        <v>150000</v>
      </c>
      <c r="L9" s="26">
        <v>150000</v>
      </c>
      <c r="M9" s="26">
        <v>150000</v>
      </c>
      <c r="N9" s="26">
        <v>150000</v>
      </c>
      <c r="O9" s="26">
        <v>150000</v>
      </c>
      <c r="P9" s="26">
        <v>150000</v>
      </c>
      <c r="Q9" s="26">
        <v>150000</v>
      </c>
      <c r="R9" s="135">
        <f t="shared" si="0"/>
        <v>1800000</v>
      </c>
      <c r="S9" s="135">
        <f t="shared" si="1"/>
        <v>0</v>
      </c>
    </row>
    <row r="10" spans="1:19" ht="21" customHeight="1">
      <c r="A10" s="7" t="s">
        <v>134</v>
      </c>
      <c r="B10" s="301"/>
      <c r="C10" s="37"/>
      <c r="D10" s="37"/>
      <c r="E10" s="3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35"/>
      <c r="S10" s="135"/>
    </row>
    <row r="11" spans="1:21" ht="21" customHeight="1">
      <c r="A11" s="30" t="s">
        <v>72</v>
      </c>
      <c r="B11" s="403">
        <v>1993770</v>
      </c>
      <c r="C11" s="37"/>
      <c r="D11" s="37">
        <v>0</v>
      </c>
      <c r="E11" s="37">
        <f>+B11+C11-D11</f>
        <v>1993770</v>
      </c>
      <c r="F11" s="26">
        <v>170440</v>
      </c>
      <c r="G11" s="26">
        <v>170440</v>
      </c>
      <c r="H11" s="26">
        <v>148940</v>
      </c>
      <c r="I11" s="26">
        <v>148940</v>
      </c>
      <c r="J11" s="26">
        <v>160450</v>
      </c>
      <c r="K11" s="26">
        <v>160450</v>
      </c>
      <c r="L11" s="26">
        <v>164200</v>
      </c>
      <c r="M11" s="26">
        <v>164200</v>
      </c>
      <c r="N11" s="26">
        <v>164200</v>
      </c>
      <c r="O11" s="26">
        <v>164322</v>
      </c>
      <c r="P11" s="26">
        <f>164300</f>
        <v>164300</v>
      </c>
      <c r="Q11" s="26">
        <f>164300</f>
        <v>164300</v>
      </c>
      <c r="R11" s="135">
        <f t="shared" si="0"/>
        <v>1945182</v>
      </c>
      <c r="S11" s="135">
        <f t="shared" si="1"/>
        <v>48588</v>
      </c>
      <c r="U11" s="375"/>
    </row>
    <row r="12" spans="1:19" ht="21" customHeight="1">
      <c r="A12" s="30" t="s">
        <v>330</v>
      </c>
      <c r="B12" s="403">
        <v>98500</v>
      </c>
      <c r="C12" s="37">
        <v>0</v>
      </c>
      <c r="D12" s="37"/>
      <c r="E12" s="37">
        <f>+B12+C12-D12</f>
        <v>98500</v>
      </c>
      <c r="F12" s="26">
        <v>7000</v>
      </c>
      <c r="G12" s="26">
        <v>7000</v>
      </c>
      <c r="H12" s="26">
        <v>7000</v>
      </c>
      <c r="I12" s="26">
        <v>7000</v>
      </c>
      <c r="J12" s="26">
        <v>7000</v>
      </c>
      <c r="K12" s="26">
        <f>1775+1775+7000</f>
        <v>10550</v>
      </c>
      <c r="L12" s="26">
        <f aca="true" t="shared" si="2" ref="L12:Q12">1775+7000</f>
        <v>8775</v>
      </c>
      <c r="M12" s="26">
        <f t="shared" si="2"/>
        <v>8775</v>
      </c>
      <c r="N12" s="26">
        <f t="shared" si="2"/>
        <v>8775</v>
      </c>
      <c r="O12" s="26">
        <f t="shared" si="2"/>
        <v>8775</v>
      </c>
      <c r="P12" s="26">
        <f t="shared" si="2"/>
        <v>8775</v>
      </c>
      <c r="Q12" s="26">
        <f t="shared" si="2"/>
        <v>8775</v>
      </c>
      <c r="R12" s="135">
        <f>SUM(F12:Q12)</f>
        <v>98200</v>
      </c>
      <c r="S12" s="135">
        <f>+E12-R12</f>
        <v>300</v>
      </c>
    </row>
    <row r="13" spans="1:19" ht="21" customHeight="1">
      <c r="A13" s="10" t="s">
        <v>73</v>
      </c>
      <c r="B13" s="403">
        <v>126000</v>
      </c>
      <c r="C13" s="23"/>
      <c r="D13" s="23"/>
      <c r="E13" s="37">
        <f>+B13+C13-D13</f>
        <v>126000</v>
      </c>
      <c r="F13" s="26">
        <v>10500</v>
      </c>
      <c r="G13" s="26">
        <v>10500</v>
      </c>
      <c r="H13" s="26">
        <v>10500</v>
      </c>
      <c r="I13" s="26">
        <v>10500</v>
      </c>
      <c r="J13" s="26">
        <v>10500</v>
      </c>
      <c r="K13" s="26">
        <v>10500</v>
      </c>
      <c r="L13" s="26">
        <v>10500</v>
      </c>
      <c r="M13" s="26">
        <v>10500</v>
      </c>
      <c r="N13" s="26">
        <v>10500</v>
      </c>
      <c r="O13" s="26">
        <v>10500</v>
      </c>
      <c r="P13" s="26">
        <v>10500</v>
      </c>
      <c r="Q13" s="26">
        <v>10500</v>
      </c>
      <c r="R13" s="135">
        <f t="shared" si="0"/>
        <v>126000</v>
      </c>
      <c r="S13" s="135">
        <f t="shared" si="1"/>
        <v>0</v>
      </c>
    </row>
    <row r="14" spans="1:19" ht="21" customHeight="1">
      <c r="A14" s="10" t="s">
        <v>13</v>
      </c>
      <c r="B14" s="403">
        <v>550560</v>
      </c>
      <c r="C14" s="23"/>
      <c r="D14" s="52"/>
      <c r="E14" s="37">
        <f>+B14+C14-D14</f>
        <v>550560</v>
      </c>
      <c r="F14" s="26"/>
      <c r="G14" s="26">
        <f>45700+45700</f>
        <v>91400</v>
      </c>
      <c r="H14" s="26">
        <v>45700</v>
      </c>
      <c r="I14" s="26">
        <v>45700</v>
      </c>
      <c r="J14" s="26">
        <v>45700</v>
      </c>
      <c r="K14" s="26">
        <v>45700</v>
      </c>
      <c r="L14" s="26">
        <v>45700</v>
      </c>
      <c r="M14" s="26">
        <v>45700</v>
      </c>
      <c r="N14" s="26">
        <v>45700</v>
      </c>
      <c r="O14" s="26">
        <v>45700</v>
      </c>
      <c r="P14" s="26">
        <v>45700</v>
      </c>
      <c r="Q14" s="26">
        <v>45700</v>
      </c>
      <c r="R14" s="135">
        <f>SUM(F14:Q14)</f>
        <v>548400</v>
      </c>
      <c r="S14" s="135">
        <f>E14-R14</f>
        <v>2160</v>
      </c>
    </row>
    <row r="15" spans="1:19" ht="21" customHeight="1">
      <c r="A15" s="10" t="s">
        <v>14</v>
      </c>
      <c r="B15" s="403">
        <v>50000</v>
      </c>
      <c r="C15" s="23"/>
      <c r="D15" s="23"/>
      <c r="E15" s="37">
        <f>+B15+C15-D15</f>
        <v>50000</v>
      </c>
      <c r="F15" s="26"/>
      <c r="G15" s="26">
        <f>4155+4155</f>
        <v>8310</v>
      </c>
      <c r="H15" s="26">
        <v>4155</v>
      </c>
      <c r="I15" s="26">
        <v>4155</v>
      </c>
      <c r="J15" s="26">
        <v>4155</v>
      </c>
      <c r="K15" s="26">
        <v>4155</v>
      </c>
      <c r="L15" s="26">
        <v>4155</v>
      </c>
      <c r="M15" s="26">
        <v>4155</v>
      </c>
      <c r="N15" s="26">
        <v>4155</v>
      </c>
      <c r="O15" s="26">
        <v>4155</v>
      </c>
      <c r="P15" s="26">
        <v>4155</v>
      </c>
      <c r="Q15" s="26">
        <v>4155</v>
      </c>
      <c r="R15" s="135">
        <f>SUM(F15:Q15)</f>
        <v>49860</v>
      </c>
      <c r="S15" s="135">
        <f>E15-R15</f>
        <v>140</v>
      </c>
    </row>
    <row r="16" spans="1:19" ht="21" customHeight="1" thickBot="1">
      <c r="A16" s="53" t="s">
        <v>493</v>
      </c>
      <c r="B16" s="507">
        <f>SUM(B5:B15)</f>
        <v>5303550</v>
      </c>
      <c r="C16" s="23"/>
      <c r="D16" s="23"/>
      <c r="E16" s="136">
        <f aca="true" t="shared" si="3" ref="E16:S16">SUM(E5:E15)</f>
        <v>5303550</v>
      </c>
      <c r="F16" s="136">
        <f t="shared" si="3"/>
        <v>395000</v>
      </c>
      <c r="G16" s="136">
        <f t="shared" si="3"/>
        <v>494710</v>
      </c>
      <c r="H16" s="136">
        <f t="shared" si="3"/>
        <v>423355</v>
      </c>
      <c r="I16" s="136">
        <f t="shared" si="3"/>
        <v>423355</v>
      </c>
      <c r="J16" s="136">
        <f t="shared" si="3"/>
        <v>434865</v>
      </c>
      <c r="K16" s="136">
        <f t="shared" si="3"/>
        <v>438415</v>
      </c>
      <c r="L16" s="136">
        <f t="shared" si="3"/>
        <v>440390</v>
      </c>
      <c r="M16" s="136">
        <f t="shared" si="3"/>
        <v>440390</v>
      </c>
      <c r="N16" s="136">
        <f t="shared" si="3"/>
        <v>440390</v>
      </c>
      <c r="O16" s="136">
        <f t="shared" si="3"/>
        <v>440512</v>
      </c>
      <c r="P16" s="136">
        <f t="shared" si="3"/>
        <v>440490</v>
      </c>
      <c r="Q16" s="136">
        <f t="shared" si="3"/>
        <v>440490</v>
      </c>
      <c r="R16" s="136">
        <f t="shared" si="3"/>
        <v>5252362</v>
      </c>
      <c r="S16" s="136">
        <f t="shared" si="3"/>
        <v>51188</v>
      </c>
    </row>
    <row r="17" spans="1:19" ht="21" customHeight="1" thickTop="1">
      <c r="A17" s="17" t="s">
        <v>93</v>
      </c>
      <c r="B17" s="503"/>
      <c r="C17" s="23"/>
      <c r="D17" s="23"/>
      <c r="E17" s="13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35"/>
      <c r="S17" s="135"/>
    </row>
    <row r="18" spans="1:19" ht="21" customHeight="1">
      <c r="A18" s="10" t="s">
        <v>143</v>
      </c>
      <c r="B18" s="403">
        <v>540000</v>
      </c>
      <c r="C18" s="23">
        <v>0</v>
      </c>
      <c r="D18" s="23"/>
      <c r="E18" s="37">
        <f>+B18+C18-D18</f>
        <v>540000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540000</v>
      </c>
      <c r="R18" s="135">
        <f>SUM(F18:Q18)</f>
        <v>540000</v>
      </c>
      <c r="S18" s="135">
        <f>+E18-R18</f>
        <v>0</v>
      </c>
    </row>
    <row r="19" spans="1:21" ht="21" customHeight="1">
      <c r="A19" s="20" t="s">
        <v>494</v>
      </c>
      <c r="B19" s="403">
        <v>60000</v>
      </c>
      <c r="C19" s="23">
        <v>0</v>
      </c>
      <c r="D19" s="23">
        <v>0</v>
      </c>
      <c r="E19" s="37">
        <f>+B19+C19-D19</f>
        <v>60000</v>
      </c>
      <c r="F19" s="26">
        <v>0</v>
      </c>
      <c r="G19" s="26">
        <v>0</v>
      </c>
      <c r="H19" s="26">
        <v>0</v>
      </c>
      <c r="I19" s="26">
        <v>0</v>
      </c>
      <c r="J19" s="26">
        <v>6000</v>
      </c>
      <c r="K19" s="26">
        <v>0</v>
      </c>
      <c r="L19" s="26">
        <f>10400-7000</f>
        <v>3400</v>
      </c>
      <c r="M19" s="26">
        <v>0</v>
      </c>
      <c r="N19" s="26">
        <v>0</v>
      </c>
      <c r="O19" s="26">
        <v>0</v>
      </c>
      <c r="P19" s="26">
        <v>0</v>
      </c>
      <c r="Q19" s="26">
        <f>30600+20000</f>
        <v>50600</v>
      </c>
      <c r="R19" s="135">
        <f>SUM(F19:Q19)</f>
        <v>60000</v>
      </c>
      <c r="S19" s="135">
        <f>+E19-R19</f>
        <v>0</v>
      </c>
      <c r="U19" s="375"/>
    </row>
    <row r="20" spans="1:21" ht="21" customHeight="1">
      <c r="A20" s="20" t="s">
        <v>495</v>
      </c>
      <c r="B20" s="403">
        <v>210000</v>
      </c>
      <c r="C20" s="338"/>
      <c r="D20" s="23"/>
      <c r="E20" s="37">
        <f>+B20+C20-D20</f>
        <v>210000</v>
      </c>
      <c r="F20" s="26">
        <v>0</v>
      </c>
      <c r="G20" s="26">
        <f>4000+3500+3000+3000+3000</f>
        <v>16500</v>
      </c>
      <c r="H20" s="26">
        <f>4000+3500+3000+3000+3000</f>
        <v>16500</v>
      </c>
      <c r="I20" s="26">
        <f>4000+3500+3000+3000</f>
        <v>13500</v>
      </c>
      <c r="J20" s="26">
        <v>13500</v>
      </c>
      <c r="K20" s="26">
        <v>13500</v>
      </c>
      <c r="L20" s="26">
        <v>13500</v>
      </c>
      <c r="M20" s="26">
        <v>13500</v>
      </c>
      <c r="N20" s="26">
        <v>13500</v>
      </c>
      <c r="O20" s="26">
        <v>13500</v>
      </c>
      <c r="P20" s="26">
        <v>13500</v>
      </c>
      <c r="Q20" s="26">
        <f>13500*2</f>
        <v>27000</v>
      </c>
      <c r="R20" s="135">
        <f>SUM(F20:Q20)</f>
        <v>168000</v>
      </c>
      <c r="S20" s="135">
        <f>+E20-R20</f>
        <v>42000</v>
      </c>
      <c r="T20" s="375"/>
      <c r="U20" s="375"/>
    </row>
    <row r="21" spans="1:20" ht="21" customHeight="1">
      <c r="A21" s="20" t="s">
        <v>496</v>
      </c>
      <c r="B21" s="403">
        <v>30000</v>
      </c>
      <c r="C21" s="338"/>
      <c r="D21" s="23">
        <v>0</v>
      </c>
      <c r="E21" s="50">
        <f>+B21+C21-D21</f>
        <v>30000</v>
      </c>
      <c r="F21" s="26">
        <v>0</v>
      </c>
      <c r="G21" s="26">
        <f>1328.25+2050</f>
        <v>3378.25</v>
      </c>
      <c r="H21" s="26"/>
      <c r="I21" s="26"/>
      <c r="J21" s="26"/>
      <c r="K21" s="26"/>
      <c r="L21" s="26"/>
      <c r="M21" s="26"/>
      <c r="N21" s="26">
        <f>2671.75+2915+2756.75+4000</f>
        <v>12343.5</v>
      </c>
      <c r="O21" s="26"/>
      <c r="P21" s="26"/>
      <c r="Q21" s="26">
        <v>0</v>
      </c>
      <c r="R21" s="135">
        <f>SUM(F21:Q21)</f>
        <v>15721.75</v>
      </c>
      <c r="S21" s="135">
        <f>+E21-R21</f>
        <v>14278.25</v>
      </c>
      <c r="T21" s="375"/>
    </row>
    <row r="22" spans="1:20" ht="21" customHeight="1">
      <c r="A22" s="20"/>
      <c r="B22" s="508"/>
      <c r="C22" s="338"/>
      <c r="D22" s="23"/>
      <c r="E22" s="5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35"/>
      <c r="S22" s="135"/>
      <c r="T22" s="375"/>
    </row>
    <row r="23" spans="1:20" ht="21" customHeight="1" thickBot="1">
      <c r="A23" s="53" t="s">
        <v>497</v>
      </c>
      <c r="B23" s="507">
        <f>SUM(B18:B22)</f>
        <v>840000</v>
      </c>
      <c r="C23" s="23"/>
      <c r="D23" s="337"/>
      <c r="E23" s="136">
        <f aca="true" t="shared" si="4" ref="E23:S23">SUM(E18:E22)</f>
        <v>840000</v>
      </c>
      <c r="F23" s="136">
        <f t="shared" si="4"/>
        <v>0</v>
      </c>
      <c r="G23" s="136">
        <f t="shared" si="4"/>
        <v>19878.25</v>
      </c>
      <c r="H23" s="136">
        <f t="shared" si="4"/>
        <v>16500</v>
      </c>
      <c r="I23" s="136">
        <f t="shared" si="4"/>
        <v>13500</v>
      </c>
      <c r="J23" s="136">
        <f t="shared" si="4"/>
        <v>19500</v>
      </c>
      <c r="K23" s="136">
        <f t="shared" si="4"/>
        <v>13500</v>
      </c>
      <c r="L23" s="136">
        <f t="shared" si="4"/>
        <v>16900</v>
      </c>
      <c r="M23" s="136">
        <f t="shared" si="4"/>
        <v>13500</v>
      </c>
      <c r="N23" s="136">
        <f t="shared" si="4"/>
        <v>25843.5</v>
      </c>
      <c r="O23" s="136">
        <f t="shared" si="4"/>
        <v>13500</v>
      </c>
      <c r="P23" s="136">
        <f t="shared" si="4"/>
        <v>13500</v>
      </c>
      <c r="Q23" s="136">
        <f t="shared" si="4"/>
        <v>617600</v>
      </c>
      <c r="R23" s="136">
        <f t="shared" si="4"/>
        <v>783721.75</v>
      </c>
      <c r="S23" s="136">
        <f t="shared" si="4"/>
        <v>56278.25</v>
      </c>
      <c r="T23" s="375"/>
    </row>
    <row r="24" spans="1:19" ht="18" customHeight="1" thickTop="1">
      <c r="A24" s="389" t="s">
        <v>23</v>
      </c>
      <c r="B24" s="505"/>
      <c r="C24" s="23"/>
      <c r="D24" s="23"/>
      <c r="E24" s="1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224"/>
      <c r="S24" s="139"/>
    </row>
    <row r="25" spans="1:19" ht="18" customHeight="1">
      <c r="A25" s="17" t="s">
        <v>267</v>
      </c>
      <c r="B25" s="162"/>
      <c r="C25" s="23"/>
      <c r="D25" s="23"/>
      <c r="E25" s="135"/>
      <c r="F25" s="390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391"/>
      <c r="R25" s="139"/>
      <c r="S25" s="392"/>
    </row>
    <row r="26" spans="1:22" ht="18" customHeight="1">
      <c r="A26" s="20" t="s">
        <v>340</v>
      </c>
      <c r="B26" s="23">
        <v>176000</v>
      </c>
      <c r="C26" s="23"/>
      <c r="D26" s="23">
        <v>0</v>
      </c>
      <c r="E26" s="37">
        <f aca="true" t="shared" si="5" ref="E26:E34">+B26+C26-D26</f>
        <v>176000</v>
      </c>
      <c r="F26" s="255">
        <v>0</v>
      </c>
      <c r="G26" s="255">
        <f>700+6000+1440+4996+750+1000+1700</f>
        <v>16586</v>
      </c>
      <c r="H26" s="255">
        <f>960+6000+3078</f>
        <v>10038</v>
      </c>
      <c r="I26" s="255">
        <f>6000+3359+1620+432+648+750+300+500</f>
        <v>13609</v>
      </c>
      <c r="J26" s="255">
        <f>6000+2951+562+5400</f>
        <v>14913</v>
      </c>
      <c r="K26" s="255">
        <f>6000+5667+864</f>
        <v>12531</v>
      </c>
      <c r="L26" s="255">
        <f>6000+1116+3300</f>
        <v>10416</v>
      </c>
      <c r="M26" s="255">
        <f>6000+7992</f>
        <v>13992</v>
      </c>
      <c r="N26" s="255">
        <f>6000+2697</f>
        <v>8697</v>
      </c>
      <c r="O26" s="255">
        <f>6000+5315</f>
        <v>11315</v>
      </c>
      <c r="P26" s="255">
        <f>6000+2324+3420</f>
        <v>11744</v>
      </c>
      <c r="Q26" s="255">
        <f>6000+2830+280+5919+6000</f>
        <v>21029</v>
      </c>
      <c r="R26" s="139">
        <f>SUM(F26:Q26)</f>
        <v>144870</v>
      </c>
      <c r="S26" s="135">
        <f>E26-R26</f>
        <v>31130</v>
      </c>
      <c r="T26" s="375"/>
      <c r="U26" s="375"/>
      <c r="V26" s="375"/>
    </row>
    <row r="27" spans="1:22" ht="18" customHeight="1">
      <c r="A27" s="10" t="s">
        <v>16</v>
      </c>
      <c r="B27" s="23">
        <v>90000</v>
      </c>
      <c r="C27" s="25"/>
      <c r="D27" s="393"/>
      <c r="E27" s="37">
        <f t="shared" si="5"/>
        <v>90000</v>
      </c>
      <c r="F27" s="255">
        <f>3900+6000</f>
        <v>9900</v>
      </c>
      <c r="G27" s="255">
        <v>0</v>
      </c>
      <c r="H27" s="255">
        <v>0</v>
      </c>
      <c r="I27" s="255">
        <v>1500</v>
      </c>
      <c r="J27" s="255">
        <f>7800+3200</f>
        <v>11000</v>
      </c>
      <c r="K27" s="255">
        <v>0</v>
      </c>
      <c r="L27" s="255">
        <f>12900+3900</f>
        <v>16800</v>
      </c>
      <c r="M27" s="255">
        <v>0</v>
      </c>
      <c r="N27" s="255">
        <v>3900</v>
      </c>
      <c r="O27" s="255">
        <f>3900+3900+4000</f>
        <v>11800</v>
      </c>
      <c r="P27" s="255">
        <f>3900+3900+3500+15800</f>
        <v>27100</v>
      </c>
      <c r="Q27" s="255">
        <v>0</v>
      </c>
      <c r="R27" s="139">
        <f aca="true" t="shared" si="6" ref="R27:R32">SUM(F27:Q27)</f>
        <v>82000</v>
      </c>
      <c r="S27" s="135">
        <f aca="true" t="shared" si="7" ref="S27:S64">E27-R27</f>
        <v>8000</v>
      </c>
      <c r="T27" s="375"/>
      <c r="U27" s="375"/>
      <c r="V27" s="375"/>
    </row>
    <row r="28" spans="1:21" ht="18" customHeight="1">
      <c r="A28" s="10" t="s">
        <v>62</v>
      </c>
      <c r="B28" s="23">
        <v>10000</v>
      </c>
      <c r="C28" s="25"/>
      <c r="D28" s="393"/>
      <c r="E28" s="37">
        <f t="shared" si="5"/>
        <v>10000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55">
        <v>0</v>
      </c>
      <c r="R28" s="139">
        <f t="shared" si="6"/>
        <v>0</v>
      </c>
      <c r="S28" s="135">
        <f t="shared" si="7"/>
        <v>10000</v>
      </c>
      <c r="T28" s="375"/>
      <c r="U28" s="375"/>
    </row>
    <row r="29" spans="1:21" ht="18" customHeight="1">
      <c r="A29" s="10" t="s">
        <v>150</v>
      </c>
      <c r="B29" s="23">
        <v>5000</v>
      </c>
      <c r="C29" s="25"/>
      <c r="D29" s="394"/>
      <c r="E29" s="37">
        <f t="shared" si="5"/>
        <v>5000</v>
      </c>
      <c r="F29" s="255">
        <v>0</v>
      </c>
      <c r="G29" s="255">
        <v>190</v>
      </c>
      <c r="H29" s="255">
        <v>220</v>
      </c>
      <c r="I29" s="255">
        <v>190</v>
      </c>
      <c r="J29" s="255">
        <v>210</v>
      </c>
      <c r="K29" s="255">
        <v>200</v>
      </c>
      <c r="L29" s="255">
        <v>210</v>
      </c>
      <c r="M29" s="255">
        <v>170</v>
      </c>
      <c r="N29" s="255">
        <v>210</v>
      </c>
      <c r="O29" s="255">
        <v>210</v>
      </c>
      <c r="P29" s="255">
        <v>200</v>
      </c>
      <c r="Q29" s="255">
        <f>220+200</f>
        <v>420</v>
      </c>
      <c r="R29" s="139">
        <f t="shared" si="6"/>
        <v>2430</v>
      </c>
      <c r="S29" s="135">
        <f t="shared" si="7"/>
        <v>2570</v>
      </c>
      <c r="T29" s="375"/>
      <c r="U29" s="375"/>
    </row>
    <row r="30" spans="1:22" ht="18" customHeight="1">
      <c r="A30" s="10" t="s">
        <v>151</v>
      </c>
      <c r="B30" s="23">
        <v>8000</v>
      </c>
      <c r="C30" s="23"/>
      <c r="D30" s="395">
        <v>0</v>
      </c>
      <c r="E30" s="37">
        <f t="shared" si="5"/>
        <v>8000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0</v>
      </c>
      <c r="P30" s="255">
        <v>0</v>
      </c>
      <c r="Q30" s="255">
        <v>0</v>
      </c>
      <c r="R30" s="139">
        <f t="shared" si="6"/>
        <v>0</v>
      </c>
      <c r="S30" s="135">
        <f t="shared" si="7"/>
        <v>8000</v>
      </c>
      <c r="T30" s="375"/>
      <c r="U30" s="375"/>
      <c r="V30" s="375"/>
    </row>
    <row r="31" spans="1:22" ht="18" customHeight="1">
      <c r="A31" s="10" t="s">
        <v>179</v>
      </c>
      <c r="B31" s="23">
        <v>63000</v>
      </c>
      <c r="C31" s="23"/>
      <c r="D31" s="395"/>
      <c r="E31" s="37">
        <f t="shared" si="5"/>
        <v>63000</v>
      </c>
      <c r="F31" s="255">
        <v>0</v>
      </c>
      <c r="G31" s="255">
        <v>5250</v>
      </c>
      <c r="H31" s="255">
        <v>5250</v>
      </c>
      <c r="I31" s="255">
        <v>5250</v>
      </c>
      <c r="J31" s="255">
        <v>5250</v>
      </c>
      <c r="K31" s="255">
        <v>5250</v>
      </c>
      <c r="L31" s="255">
        <v>5250</v>
      </c>
      <c r="M31" s="255">
        <v>5250</v>
      </c>
      <c r="N31" s="255">
        <v>5250</v>
      </c>
      <c r="O31" s="255">
        <v>5250</v>
      </c>
      <c r="P31" s="255">
        <v>5250</v>
      </c>
      <c r="Q31" s="255">
        <v>5250</v>
      </c>
      <c r="R31" s="139">
        <f t="shared" si="6"/>
        <v>57750</v>
      </c>
      <c r="S31" s="135">
        <f t="shared" si="7"/>
        <v>5250</v>
      </c>
      <c r="T31" s="375"/>
      <c r="U31" s="375"/>
      <c r="V31" s="375"/>
    </row>
    <row r="32" spans="1:21" ht="18" customHeight="1">
      <c r="A32" s="396" t="s">
        <v>180</v>
      </c>
      <c r="B32" s="23"/>
      <c r="C32" s="23"/>
      <c r="D32" s="395"/>
      <c r="E32" s="37">
        <f t="shared" si="5"/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139">
        <f t="shared" si="6"/>
        <v>0</v>
      </c>
      <c r="S32" s="135">
        <f t="shared" si="7"/>
        <v>0</v>
      </c>
      <c r="T32" s="375"/>
      <c r="U32" s="375"/>
    </row>
    <row r="33" spans="1:21" ht="18" customHeight="1">
      <c r="A33" s="144" t="s">
        <v>190</v>
      </c>
      <c r="B33" s="203">
        <v>336000</v>
      </c>
      <c r="C33" s="23"/>
      <c r="D33" s="23"/>
      <c r="E33" s="37">
        <f t="shared" si="5"/>
        <v>336000</v>
      </c>
      <c r="F33" s="255">
        <v>0</v>
      </c>
      <c r="G33" s="255">
        <f>7000*4</f>
        <v>28000</v>
      </c>
      <c r="H33" s="255">
        <v>28000</v>
      </c>
      <c r="I33" s="255">
        <v>28000</v>
      </c>
      <c r="J33" s="255">
        <v>28000</v>
      </c>
      <c r="K33" s="255">
        <v>28000</v>
      </c>
      <c r="L33" s="255">
        <v>28000</v>
      </c>
      <c r="M33" s="255">
        <v>28000</v>
      </c>
      <c r="N33" s="255">
        <v>28000</v>
      </c>
      <c r="O33" s="255">
        <v>28000</v>
      </c>
      <c r="P33" s="255">
        <v>28000</v>
      </c>
      <c r="Q33" s="255">
        <f>28000*2</f>
        <v>56000</v>
      </c>
      <c r="R33" s="139">
        <f>SUM(F33:Q33)</f>
        <v>336000</v>
      </c>
      <c r="S33" s="135">
        <f t="shared" si="7"/>
        <v>0</v>
      </c>
      <c r="T33" s="375"/>
      <c r="U33" s="375"/>
    </row>
    <row r="34" spans="1:21" ht="18" customHeight="1">
      <c r="A34" s="144" t="s">
        <v>244</v>
      </c>
      <c r="B34" s="203">
        <v>126000</v>
      </c>
      <c r="C34" s="23">
        <v>0</v>
      </c>
      <c r="D34" s="23"/>
      <c r="E34" s="37">
        <f t="shared" si="5"/>
        <v>126000</v>
      </c>
      <c r="F34" s="255">
        <v>0</v>
      </c>
      <c r="G34" s="255">
        <v>0</v>
      </c>
      <c r="H34" s="255">
        <v>0</v>
      </c>
      <c r="I34" s="255">
        <v>0</v>
      </c>
      <c r="J34" s="255">
        <v>0</v>
      </c>
      <c r="K34" s="255">
        <v>0</v>
      </c>
      <c r="L34" s="255">
        <v>20150</v>
      </c>
      <c r="M34" s="255">
        <v>0</v>
      </c>
      <c r="N34" s="255">
        <v>0</v>
      </c>
      <c r="O34" s="255">
        <v>0</v>
      </c>
      <c r="P34" s="255">
        <v>0</v>
      </c>
      <c r="Q34" s="255">
        <v>20100</v>
      </c>
      <c r="R34" s="139">
        <f>SUM(F34:Q34)</f>
        <v>40250</v>
      </c>
      <c r="S34" s="135">
        <f t="shared" si="7"/>
        <v>85750</v>
      </c>
      <c r="T34" s="375"/>
      <c r="U34" s="375"/>
    </row>
    <row r="35" spans="1:21" ht="18" customHeight="1">
      <c r="A35" s="17" t="s">
        <v>498</v>
      </c>
      <c r="B35" s="502"/>
      <c r="C35" s="23"/>
      <c r="D35" s="395"/>
      <c r="E35" s="37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139"/>
      <c r="S35" s="135">
        <f t="shared" si="7"/>
        <v>0</v>
      </c>
      <c r="T35" s="375"/>
      <c r="U35" s="375"/>
    </row>
    <row r="36" spans="1:21" ht="18" customHeight="1">
      <c r="A36" s="10" t="s">
        <v>152</v>
      </c>
      <c r="B36" s="23">
        <v>15000</v>
      </c>
      <c r="C36" s="23"/>
      <c r="D36" s="23"/>
      <c r="E36" s="37">
        <f>+B36+C36-D36</f>
        <v>15000</v>
      </c>
      <c r="F36" s="255">
        <v>0</v>
      </c>
      <c r="G36" s="255">
        <f>200+275+425</f>
        <v>900</v>
      </c>
      <c r="H36" s="255">
        <v>0</v>
      </c>
      <c r="I36" s="255">
        <f>625+1125+1800+200</f>
        <v>3750</v>
      </c>
      <c r="J36" s="255">
        <f>200+425</f>
        <v>625</v>
      </c>
      <c r="K36" s="255">
        <f>200+425</f>
        <v>625</v>
      </c>
      <c r="L36" s="255">
        <v>1000</v>
      </c>
      <c r="M36" s="255">
        <f>275</f>
        <v>275</v>
      </c>
      <c r="N36" s="255">
        <v>0</v>
      </c>
      <c r="O36" s="255">
        <v>0</v>
      </c>
      <c r="P36" s="255">
        <v>0</v>
      </c>
      <c r="Q36" s="255">
        <v>0</v>
      </c>
      <c r="R36" s="139">
        <f>SUM(F36:Q36)</f>
        <v>7175</v>
      </c>
      <c r="S36" s="135">
        <f t="shared" si="7"/>
        <v>7825</v>
      </c>
      <c r="T36" s="375"/>
      <c r="U36" s="375"/>
    </row>
    <row r="37" spans="1:21" ht="18" customHeight="1">
      <c r="A37" s="10" t="s">
        <v>153</v>
      </c>
      <c r="B37" s="23">
        <v>15000</v>
      </c>
      <c r="C37" s="23"/>
      <c r="D37" s="23"/>
      <c r="E37" s="37">
        <f>+B37+C37-D37</f>
        <v>15000</v>
      </c>
      <c r="F37" s="255">
        <v>0</v>
      </c>
      <c r="G37" s="255">
        <v>750</v>
      </c>
      <c r="H37" s="255">
        <v>0</v>
      </c>
      <c r="I37" s="255">
        <v>0</v>
      </c>
      <c r="J37" s="255">
        <v>1500</v>
      </c>
      <c r="K37" s="255">
        <v>0</v>
      </c>
      <c r="L37" s="255">
        <v>0</v>
      </c>
      <c r="M37" s="255">
        <v>750</v>
      </c>
      <c r="N37" s="255">
        <v>0</v>
      </c>
      <c r="O37" s="255">
        <v>0</v>
      </c>
      <c r="P37" s="255">
        <v>1500</v>
      </c>
      <c r="Q37" s="255">
        <v>0</v>
      </c>
      <c r="R37" s="139">
        <f aca="true" t="shared" si="8" ref="R37:R64">SUM(F37:Q37)</f>
        <v>4500</v>
      </c>
      <c r="S37" s="135">
        <f t="shared" si="7"/>
        <v>10500</v>
      </c>
      <c r="T37" s="375"/>
      <c r="U37" s="375"/>
    </row>
    <row r="38" spans="1:22" ht="18" customHeight="1">
      <c r="A38" s="144" t="s">
        <v>154</v>
      </c>
      <c r="B38" s="36"/>
      <c r="C38" s="23"/>
      <c r="D38" s="23"/>
      <c r="E38" s="37">
        <f>+B38+C38-D38</f>
        <v>0</v>
      </c>
      <c r="F38" s="255">
        <v>0</v>
      </c>
      <c r="G38" s="255">
        <v>0</v>
      </c>
      <c r="H38" s="255">
        <v>0</v>
      </c>
      <c r="I38" s="255">
        <v>0</v>
      </c>
      <c r="J38" s="255">
        <v>0</v>
      </c>
      <c r="K38" s="255">
        <v>0</v>
      </c>
      <c r="L38" s="255">
        <v>0</v>
      </c>
      <c r="M38" s="255">
        <v>0</v>
      </c>
      <c r="N38" s="255">
        <v>0</v>
      </c>
      <c r="O38" s="255">
        <v>0</v>
      </c>
      <c r="P38" s="255">
        <v>0</v>
      </c>
      <c r="Q38" s="255">
        <v>0</v>
      </c>
      <c r="R38" s="139">
        <f t="shared" si="8"/>
        <v>0</v>
      </c>
      <c r="S38" s="135">
        <f t="shared" si="7"/>
        <v>0</v>
      </c>
      <c r="T38" s="375"/>
      <c r="U38" s="375"/>
      <c r="V38" s="375"/>
    </row>
    <row r="39" spans="1:20" ht="18" customHeight="1">
      <c r="A39" s="17" t="s">
        <v>499</v>
      </c>
      <c r="B39" s="162"/>
      <c r="C39" s="23"/>
      <c r="D39" s="23"/>
      <c r="E39" s="135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139">
        <f t="shared" si="8"/>
        <v>0</v>
      </c>
      <c r="S39" s="135">
        <f t="shared" si="7"/>
        <v>0</v>
      </c>
      <c r="T39" s="375"/>
    </row>
    <row r="40" spans="1:20" s="302" customFormat="1" ht="18" customHeight="1">
      <c r="A40" s="442" t="s">
        <v>332</v>
      </c>
      <c r="B40" s="443">
        <v>200000</v>
      </c>
      <c r="C40" s="443">
        <v>0</v>
      </c>
      <c r="D40" s="443"/>
      <c r="E40" s="444">
        <f aca="true" t="shared" si="9" ref="E40:E80">+B40+C40-D40</f>
        <v>200000</v>
      </c>
      <c r="F40" s="445">
        <v>0</v>
      </c>
      <c r="G40" s="445">
        <v>0</v>
      </c>
      <c r="H40" s="445">
        <v>0</v>
      </c>
      <c r="I40" s="445">
        <f>74000+4500+5625+450</f>
        <v>84575</v>
      </c>
      <c r="J40" s="445">
        <v>115250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5">
        <v>0</v>
      </c>
      <c r="R40" s="446">
        <f t="shared" si="8"/>
        <v>199825</v>
      </c>
      <c r="S40" s="447">
        <f t="shared" si="7"/>
        <v>175</v>
      </c>
      <c r="T40" s="448"/>
    </row>
    <row r="41" spans="1:21" ht="18" customHeight="1">
      <c r="A41" s="396" t="s">
        <v>156</v>
      </c>
      <c r="B41" s="23">
        <v>13000</v>
      </c>
      <c r="C41" s="23"/>
      <c r="D41" s="23">
        <v>0</v>
      </c>
      <c r="E41" s="37">
        <f t="shared" si="9"/>
        <v>13000</v>
      </c>
      <c r="F41" s="255">
        <v>0</v>
      </c>
      <c r="G41" s="255">
        <v>0</v>
      </c>
      <c r="H41" s="255">
        <v>0</v>
      </c>
      <c r="I41" s="255"/>
      <c r="J41" s="255">
        <v>0</v>
      </c>
      <c r="K41" s="255">
        <v>0</v>
      </c>
      <c r="L41" s="255">
        <v>0</v>
      </c>
      <c r="M41" s="255">
        <f>450+3000+2400+550+2400</f>
        <v>8800</v>
      </c>
      <c r="N41" s="255">
        <v>3300</v>
      </c>
      <c r="O41" s="255">
        <v>0</v>
      </c>
      <c r="P41" s="255">
        <v>0</v>
      </c>
      <c r="Q41" s="255">
        <v>0</v>
      </c>
      <c r="R41" s="139">
        <f t="shared" si="8"/>
        <v>12100</v>
      </c>
      <c r="S41" s="135">
        <f t="shared" si="7"/>
        <v>900</v>
      </c>
      <c r="T41" s="375"/>
      <c r="U41" s="375"/>
    </row>
    <row r="42" spans="1:20" ht="18" customHeight="1">
      <c r="A42" s="396" t="s">
        <v>331</v>
      </c>
      <c r="B42" s="23">
        <v>20000</v>
      </c>
      <c r="C42" s="23"/>
      <c r="D42" s="23"/>
      <c r="E42" s="37">
        <f t="shared" si="9"/>
        <v>20000</v>
      </c>
      <c r="F42" s="255">
        <v>0</v>
      </c>
      <c r="G42" s="255">
        <v>0</v>
      </c>
      <c r="H42" s="255">
        <v>0</v>
      </c>
      <c r="I42" s="255">
        <v>0</v>
      </c>
      <c r="J42" s="255">
        <v>0</v>
      </c>
      <c r="K42" s="255">
        <f>4500+3444+2700+3700</f>
        <v>14344</v>
      </c>
      <c r="L42" s="255">
        <v>2000</v>
      </c>
      <c r="M42" s="255">
        <v>0</v>
      </c>
      <c r="N42" s="255">
        <v>0</v>
      </c>
      <c r="O42" s="255">
        <v>0</v>
      </c>
      <c r="P42" s="255">
        <v>0</v>
      </c>
      <c r="Q42" s="255">
        <v>0</v>
      </c>
      <c r="R42" s="139">
        <f t="shared" si="8"/>
        <v>16344</v>
      </c>
      <c r="S42" s="135">
        <f t="shared" si="7"/>
        <v>3656</v>
      </c>
      <c r="T42" s="375"/>
    </row>
    <row r="43" spans="1:22" ht="18" customHeight="1">
      <c r="A43" s="10" t="s">
        <v>157</v>
      </c>
      <c r="B43" s="23">
        <v>35000</v>
      </c>
      <c r="C43" s="23">
        <v>0</v>
      </c>
      <c r="D43" s="23"/>
      <c r="E43" s="37">
        <f t="shared" si="9"/>
        <v>35000</v>
      </c>
      <c r="F43" s="255">
        <v>0</v>
      </c>
      <c r="G43" s="255">
        <v>0</v>
      </c>
      <c r="H43" s="255">
        <f>3084+1082</f>
        <v>4166</v>
      </c>
      <c r="I43" s="255">
        <v>0</v>
      </c>
      <c r="J43" s="255">
        <v>0</v>
      </c>
      <c r="K43" s="255">
        <f>5128+1040+400</f>
        <v>6568</v>
      </c>
      <c r="L43" s="255">
        <f>400+1888</f>
        <v>2288</v>
      </c>
      <c r="M43" s="255">
        <v>400</v>
      </c>
      <c r="N43" s="255">
        <f>1048+5184</f>
        <v>6232</v>
      </c>
      <c r="O43" s="255">
        <f>3200+1038</f>
        <v>4238</v>
      </c>
      <c r="P43" s="255">
        <f>864+1040+800+948</f>
        <v>3652</v>
      </c>
      <c r="Q43" s="255">
        <f>1360+2512</f>
        <v>3872</v>
      </c>
      <c r="R43" s="139">
        <f t="shared" si="8"/>
        <v>31416</v>
      </c>
      <c r="S43" s="135">
        <f t="shared" si="7"/>
        <v>3584</v>
      </c>
      <c r="V43" s="375"/>
    </row>
    <row r="44" spans="1:20" s="302" customFormat="1" ht="18" customHeight="1">
      <c r="A44" s="449" t="s">
        <v>425</v>
      </c>
      <c r="B44" s="443">
        <v>100000</v>
      </c>
      <c r="C44" s="443"/>
      <c r="D44" s="443"/>
      <c r="E44" s="444">
        <f t="shared" si="9"/>
        <v>100000</v>
      </c>
      <c r="F44" s="445">
        <v>0</v>
      </c>
      <c r="G44" s="445">
        <v>0</v>
      </c>
      <c r="H44" s="445">
        <v>0</v>
      </c>
      <c r="I44" s="445">
        <v>0</v>
      </c>
      <c r="J44" s="445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5">
        <f>3600+2090+1760+3750+9375+52900+13300+11400+450</f>
        <v>98625</v>
      </c>
      <c r="R44" s="446">
        <f t="shared" si="8"/>
        <v>98625</v>
      </c>
      <c r="S44" s="447">
        <f t="shared" si="7"/>
        <v>1375</v>
      </c>
      <c r="T44" s="448"/>
    </row>
    <row r="45" spans="1:19" ht="18" customHeight="1">
      <c r="A45" s="10" t="s">
        <v>158</v>
      </c>
      <c r="B45" s="23">
        <v>7000</v>
      </c>
      <c r="C45" s="23">
        <v>0</v>
      </c>
      <c r="D45" s="23"/>
      <c r="E45" s="37">
        <f t="shared" si="9"/>
        <v>7000</v>
      </c>
      <c r="F45" s="255">
        <v>0</v>
      </c>
      <c r="G45" s="255">
        <v>600</v>
      </c>
      <c r="H45" s="255">
        <v>0</v>
      </c>
      <c r="I45" s="255">
        <v>0</v>
      </c>
      <c r="J45" s="255">
        <v>0</v>
      </c>
      <c r="K45" s="255">
        <v>0</v>
      </c>
      <c r="L45" s="255">
        <v>0</v>
      </c>
      <c r="M45" s="255">
        <v>0</v>
      </c>
      <c r="N45" s="255">
        <v>0</v>
      </c>
      <c r="O45" s="255">
        <v>0</v>
      </c>
      <c r="P45" s="255">
        <f>2000+3150</f>
        <v>5150</v>
      </c>
      <c r="Q45" s="255">
        <v>0</v>
      </c>
      <c r="R45" s="139">
        <f>SUM(F45:Q45)</f>
        <v>5750</v>
      </c>
      <c r="S45" s="135">
        <f>E45-R45</f>
        <v>1250</v>
      </c>
    </row>
    <row r="46" spans="1:19" ht="18" customHeight="1">
      <c r="A46" s="10" t="s">
        <v>159</v>
      </c>
      <c r="B46" s="23">
        <v>100000</v>
      </c>
      <c r="C46" s="23"/>
      <c r="D46" s="23">
        <v>0</v>
      </c>
      <c r="E46" s="37">
        <f t="shared" si="9"/>
        <v>100000</v>
      </c>
      <c r="F46" s="255">
        <v>0</v>
      </c>
      <c r="G46" s="255">
        <v>0</v>
      </c>
      <c r="H46" s="255">
        <v>0</v>
      </c>
      <c r="I46" s="255">
        <v>0</v>
      </c>
      <c r="J46" s="255">
        <v>0</v>
      </c>
      <c r="K46" s="255">
        <v>0</v>
      </c>
      <c r="L46" s="255">
        <v>0</v>
      </c>
      <c r="M46" s="255">
        <v>0</v>
      </c>
      <c r="N46" s="255">
        <v>0</v>
      </c>
      <c r="O46" s="255">
        <v>0</v>
      </c>
      <c r="P46" s="255">
        <v>0</v>
      </c>
      <c r="Q46" s="255">
        <v>0</v>
      </c>
      <c r="R46" s="139">
        <f t="shared" si="8"/>
        <v>0</v>
      </c>
      <c r="S46" s="135">
        <f t="shared" si="7"/>
        <v>100000</v>
      </c>
    </row>
    <row r="47" spans="1:19" s="302" customFormat="1" ht="18" customHeight="1">
      <c r="A47" s="449" t="s">
        <v>460</v>
      </c>
      <c r="B47" s="443">
        <v>10000</v>
      </c>
      <c r="C47" s="443"/>
      <c r="D47" s="443"/>
      <c r="E47" s="444">
        <f t="shared" si="9"/>
        <v>10000</v>
      </c>
      <c r="F47" s="445">
        <v>0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5">
        <v>0</v>
      </c>
      <c r="R47" s="446">
        <f>SUM(F47:Q47)</f>
        <v>0</v>
      </c>
      <c r="S47" s="447">
        <f>E47-R47</f>
        <v>10000</v>
      </c>
    </row>
    <row r="48" spans="1:20" s="302" customFormat="1" ht="18" customHeight="1">
      <c r="A48" s="449" t="s">
        <v>461</v>
      </c>
      <c r="B48" s="443">
        <v>10000</v>
      </c>
      <c r="C48" s="443">
        <v>0</v>
      </c>
      <c r="D48" s="443"/>
      <c r="E48" s="444">
        <f t="shared" si="9"/>
        <v>10000</v>
      </c>
      <c r="F48" s="445">
        <v>0</v>
      </c>
      <c r="G48" s="445">
        <v>0</v>
      </c>
      <c r="H48" s="445">
        <v>0</v>
      </c>
      <c r="I48" s="445">
        <v>0</v>
      </c>
      <c r="J48" s="445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f>2500+500+7000</f>
        <v>10000</v>
      </c>
      <c r="Q48" s="445">
        <v>0</v>
      </c>
      <c r="R48" s="446">
        <f t="shared" si="8"/>
        <v>10000</v>
      </c>
      <c r="S48" s="447">
        <f t="shared" si="7"/>
        <v>0</v>
      </c>
      <c r="T48" s="448"/>
    </row>
    <row r="49" spans="1:21" ht="18" customHeight="1">
      <c r="A49" s="355" t="s">
        <v>325</v>
      </c>
      <c r="B49" s="23"/>
      <c r="C49" s="354"/>
      <c r="D49" s="155"/>
      <c r="E49" s="37">
        <f t="shared" si="9"/>
        <v>0</v>
      </c>
      <c r="F49" s="255">
        <v>0</v>
      </c>
      <c r="G49" s="255">
        <v>0</v>
      </c>
      <c r="H49" s="255">
        <v>0</v>
      </c>
      <c r="I49" s="255">
        <v>0</v>
      </c>
      <c r="J49" s="255">
        <v>0</v>
      </c>
      <c r="K49" s="255">
        <v>0</v>
      </c>
      <c r="L49" s="255">
        <v>0</v>
      </c>
      <c r="M49" s="255">
        <v>0</v>
      </c>
      <c r="N49" s="255">
        <v>0</v>
      </c>
      <c r="O49" s="255">
        <v>0</v>
      </c>
      <c r="P49" s="255">
        <v>0</v>
      </c>
      <c r="Q49" s="255">
        <v>0</v>
      </c>
      <c r="R49" s="139">
        <f>SUM(F49:Q49)</f>
        <v>0</v>
      </c>
      <c r="S49" s="135">
        <f>E49-R49</f>
        <v>0</v>
      </c>
      <c r="T49" s="375"/>
      <c r="U49" s="375"/>
    </row>
    <row r="50" spans="1:20" ht="18" customHeight="1">
      <c r="A50" s="396" t="s">
        <v>192</v>
      </c>
      <c r="B50" s="23">
        <v>25000</v>
      </c>
      <c r="C50" s="354"/>
      <c r="D50" s="9"/>
      <c r="E50" s="37">
        <f t="shared" si="9"/>
        <v>25000</v>
      </c>
      <c r="F50" s="255">
        <v>0</v>
      </c>
      <c r="G50" s="255">
        <v>0</v>
      </c>
      <c r="H50" s="255">
        <v>0</v>
      </c>
      <c r="I50" s="255">
        <f>18480+4799+1472</f>
        <v>24751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5">
        <v>0</v>
      </c>
      <c r="Q50" s="255">
        <v>0</v>
      </c>
      <c r="R50" s="139">
        <f t="shared" si="8"/>
        <v>24751</v>
      </c>
      <c r="S50" s="135">
        <f t="shared" si="7"/>
        <v>249</v>
      </c>
      <c r="T50" s="375"/>
    </row>
    <row r="51" spans="1:19" ht="18" customHeight="1">
      <c r="A51" s="396" t="s">
        <v>301</v>
      </c>
      <c r="B51" s="23">
        <v>10000</v>
      </c>
      <c r="C51" s="354"/>
      <c r="D51" s="9"/>
      <c r="E51" s="37">
        <f t="shared" si="9"/>
        <v>10000</v>
      </c>
      <c r="F51" s="255">
        <v>0</v>
      </c>
      <c r="G51" s="255">
        <v>0</v>
      </c>
      <c r="H51" s="255">
        <v>0</v>
      </c>
      <c r="I51" s="255">
        <v>0</v>
      </c>
      <c r="J51" s="255">
        <v>0</v>
      </c>
      <c r="K51" s="255">
        <v>0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  <c r="Q51" s="255">
        <v>0</v>
      </c>
      <c r="R51" s="139">
        <f>SUM(F51:Q51)</f>
        <v>0</v>
      </c>
      <c r="S51" s="135">
        <f>E51-R51</f>
        <v>10000</v>
      </c>
    </row>
    <row r="52" spans="1:20" ht="18" customHeight="1">
      <c r="A52" s="396" t="s">
        <v>191</v>
      </c>
      <c r="B52" s="23">
        <v>25000</v>
      </c>
      <c r="C52" s="354"/>
      <c r="D52" s="9"/>
      <c r="E52" s="37">
        <f t="shared" si="9"/>
        <v>25000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  <c r="K52" s="255">
        <v>0</v>
      </c>
      <c r="L52" s="255">
        <v>0</v>
      </c>
      <c r="M52" s="255">
        <f>18900+4068+1700</f>
        <v>24668</v>
      </c>
      <c r="N52" s="255">
        <v>0</v>
      </c>
      <c r="O52" s="255">
        <v>0</v>
      </c>
      <c r="P52" s="255">
        <v>0</v>
      </c>
      <c r="Q52" s="255">
        <v>0</v>
      </c>
      <c r="R52" s="139">
        <f t="shared" si="8"/>
        <v>24668</v>
      </c>
      <c r="S52" s="135">
        <f t="shared" si="7"/>
        <v>332</v>
      </c>
      <c r="T52" s="375"/>
    </row>
    <row r="53" spans="1:19" ht="18" customHeight="1">
      <c r="A53" s="396" t="s">
        <v>302</v>
      </c>
      <c r="B53" s="23">
        <v>3000</v>
      </c>
      <c r="C53" s="354"/>
      <c r="D53" s="9"/>
      <c r="E53" s="37">
        <f t="shared" si="9"/>
        <v>3000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  <c r="K53" s="255">
        <v>0</v>
      </c>
      <c r="L53" s="255">
        <v>0</v>
      </c>
      <c r="M53" s="255">
        <v>0</v>
      </c>
      <c r="N53" s="255">
        <v>0</v>
      </c>
      <c r="O53" s="255">
        <v>0</v>
      </c>
      <c r="P53" s="255">
        <v>0</v>
      </c>
      <c r="Q53" s="255">
        <v>0</v>
      </c>
      <c r="R53" s="139">
        <f>SUM(F53:Q53)</f>
        <v>0</v>
      </c>
      <c r="S53" s="135">
        <f>E53-R53</f>
        <v>3000</v>
      </c>
    </row>
    <row r="54" spans="1:20" s="302" customFormat="1" ht="18" customHeight="1">
      <c r="A54" s="442" t="s">
        <v>303</v>
      </c>
      <c r="B54" s="443">
        <v>30000</v>
      </c>
      <c r="C54" s="461"/>
      <c r="D54" s="462"/>
      <c r="E54" s="444">
        <f t="shared" si="9"/>
        <v>30000</v>
      </c>
      <c r="F54" s="445">
        <v>0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f>1600+2000+450+10000+7100+8400</f>
        <v>29550</v>
      </c>
      <c r="R54" s="446">
        <f>SUM(F54:Q54)</f>
        <v>29550</v>
      </c>
      <c r="S54" s="447">
        <f>E54-R54</f>
        <v>450</v>
      </c>
      <c r="T54" s="448"/>
    </row>
    <row r="55" spans="1:21" ht="18" customHeight="1">
      <c r="A55" s="396" t="s">
        <v>401</v>
      </c>
      <c r="B55" s="23"/>
      <c r="C55" s="354">
        <v>0</v>
      </c>
      <c r="D55" s="155"/>
      <c r="E55" s="37">
        <f t="shared" si="9"/>
        <v>0</v>
      </c>
      <c r="F55" s="255">
        <v>0</v>
      </c>
      <c r="G55" s="255">
        <v>0</v>
      </c>
      <c r="H55" s="255">
        <v>0</v>
      </c>
      <c r="I55" s="255">
        <v>0</v>
      </c>
      <c r="J55" s="255">
        <v>0</v>
      </c>
      <c r="K55" s="255">
        <v>0</v>
      </c>
      <c r="L55" s="255">
        <v>0</v>
      </c>
      <c r="M55" s="255">
        <v>0</v>
      </c>
      <c r="N55" s="255">
        <v>0</v>
      </c>
      <c r="O55" s="255">
        <v>0</v>
      </c>
      <c r="P55" s="255">
        <v>0</v>
      </c>
      <c r="Q55" s="255">
        <v>0</v>
      </c>
      <c r="R55" s="139">
        <f>SUM(F55:Q55)</f>
        <v>0</v>
      </c>
      <c r="S55" s="135">
        <f>E55-R55</f>
        <v>0</v>
      </c>
      <c r="T55" s="375"/>
      <c r="U55" s="375"/>
    </row>
    <row r="56" spans="1:20" ht="18" customHeight="1">
      <c r="A56" s="10" t="s">
        <v>328</v>
      </c>
      <c r="B56" s="23"/>
      <c r="C56" s="23"/>
      <c r="D56" s="23"/>
      <c r="E56" s="37">
        <f t="shared" si="9"/>
        <v>0</v>
      </c>
      <c r="F56" s="255">
        <v>0</v>
      </c>
      <c r="G56" s="255">
        <v>0</v>
      </c>
      <c r="H56" s="255">
        <v>0</v>
      </c>
      <c r="I56" s="255">
        <v>0</v>
      </c>
      <c r="J56" s="255">
        <v>0</v>
      </c>
      <c r="K56" s="255">
        <v>0</v>
      </c>
      <c r="L56" s="255">
        <v>0</v>
      </c>
      <c r="M56" s="255">
        <v>0</v>
      </c>
      <c r="N56" s="255">
        <v>0</v>
      </c>
      <c r="O56" s="255">
        <v>0</v>
      </c>
      <c r="P56" s="255">
        <v>0</v>
      </c>
      <c r="Q56" s="255">
        <v>0</v>
      </c>
      <c r="R56" s="139">
        <f t="shared" si="8"/>
        <v>0</v>
      </c>
      <c r="S56" s="135">
        <f t="shared" si="7"/>
        <v>0</v>
      </c>
      <c r="T56" s="375"/>
    </row>
    <row r="57" spans="1:19" s="302" customFormat="1" ht="18" customHeight="1">
      <c r="A57" s="449" t="s">
        <v>183</v>
      </c>
      <c r="B57" s="443">
        <v>40000</v>
      </c>
      <c r="C57" s="443"/>
      <c r="D57" s="443"/>
      <c r="E57" s="444">
        <f t="shared" si="9"/>
        <v>40000</v>
      </c>
      <c r="F57" s="445">
        <v>0</v>
      </c>
      <c r="G57" s="445">
        <v>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39000</v>
      </c>
      <c r="P57" s="445">
        <v>0</v>
      </c>
      <c r="Q57" s="445">
        <v>0</v>
      </c>
      <c r="R57" s="446">
        <f t="shared" si="8"/>
        <v>39000</v>
      </c>
      <c r="S57" s="447">
        <f t="shared" si="7"/>
        <v>1000</v>
      </c>
    </row>
    <row r="58" spans="1:19" s="302" customFormat="1" ht="18" customHeight="1">
      <c r="A58" s="449" t="s">
        <v>184</v>
      </c>
      <c r="B58" s="443">
        <v>40000</v>
      </c>
      <c r="C58" s="443">
        <v>0</v>
      </c>
      <c r="D58" s="443">
        <v>0</v>
      </c>
      <c r="E58" s="444">
        <f t="shared" si="9"/>
        <v>40000</v>
      </c>
      <c r="F58" s="445">
        <v>0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>
        <f>432+1800+1250</f>
        <v>3482</v>
      </c>
      <c r="N58" s="445">
        <v>0</v>
      </c>
      <c r="O58" s="445">
        <v>36515</v>
      </c>
      <c r="P58" s="445">
        <v>0</v>
      </c>
      <c r="Q58" s="445">
        <v>0</v>
      </c>
      <c r="R58" s="446">
        <f t="shared" si="8"/>
        <v>39997</v>
      </c>
      <c r="S58" s="447">
        <f t="shared" si="7"/>
        <v>3</v>
      </c>
    </row>
    <row r="59" spans="1:20" ht="18" customHeight="1">
      <c r="A59" s="10" t="s">
        <v>408</v>
      </c>
      <c r="B59" s="23"/>
      <c r="C59" s="23">
        <v>0</v>
      </c>
      <c r="D59" s="23"/>
      <c r="E59" s="37">
        <f t="shared" si="9"/>
        <v>0</v>
      </c>
      <c r="F59" s="255">
        <v>0</v>
      </c>
      <c r="G59" s="255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5">
        <v>0</v>
      </c>
      <c r="N59" s="255">
        <v>0</v>
      </c>
      <c r="O59" s="255">
        <v>0</v>
      </c>
      <c r="P59" s="255">
        <v>0</v>
      </c>
      <c r="Q59" s="255">
        <v>0</v>
      </c>
      <c r="R59" s="139">
        <f t="shared" si="8"/>
        <v>0</v>
      </c>
      <c r="S59" s="135">
        <f t="shared" si="7"/>
        <v>0</v>
      </c>
      <c r="T59" s="375"/>
    </row>
    <row r="60" spans="1:20" ht="18" customHeight="1">
      <c r="A60" s="351" t="s">
        <v>238</v>
      </c>
      <c r="B60" s="23">
        <v>20000</v>
      </c>
      <c r="C60" s="23"/>
      <c r="D60" s="23"/>
      <c r="E60" s="37">
        <f t="shared" si="9"/>
        <v>20000</v>
      </c>
      <c r="F60" s="255">
        <v>0</v>
      </c>
      <c r="G60" s="255">
        <v>0</v>
      </c>
      <c r="H60" s="255">
        <f>3200+464+1360+2168</f>
        <v>7192</v>
      </c>
      <c r="I60" s="255">
        <v>0</v>
      </c>
      <c r="J60" s="255">
        <v>0</v>
      </c>
      <c r="K60" s="255">
        <v>0</v>
      </c>
      <c r="L60" s="255">
        <v>0</v>
      </c>
      <c r="M60" s="255">
        <v>0</v>
      </c>
      <c r="N60" s="255">
        <v>0</v>
      </c>
      <c r="O60" s="255">
        <v>0</v>
      </c>
      <c r="P60" s="255">
        <v>0</v>
      </c>
      <c r="Q60" s="255">
        <v>0</v>
      </c>
      <c r="R60" s="139">
        <f t="shared" si="8"/>
        <v>7192</v>
      </c>
      <c r="S60" s="135">
        <f t="shared" si="7"/>
        <v>12808</v>
      </c>
      <c r="T60" s="375"/>
    </row>
    <row r="61" spans="1:20" ht="18" customHeight="1">
      <c r="A61" s="10" t="s">
        <v>187</v>
      </c>
      <c r="B61" s="23">
        <v>0</v>
      </c>
      <c r="C61" s="23"/>
      <c r="D61" s="23">
        <v>0</v>
      </c>
      <c r="E61" s="37">
        <f t="shared" si="9"/>
        <v>0</v>
      </c>
      <c r="F61" s="255">
        <v>0</v>
      </c>
      <c r="G61" s="255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5">
        <v>0</v>
      </c>
      <c r="N61" s="255">
        <v>0</v>
      </c>
      <c r="O61" s="255">
        <v>0</v>
      </c>
      <c r="P61" s="255">
        <v>0</v>
      </c>
      <c r="Q61" s="255">
        <v>0</v>
      </c>
      <c r="R61" s="139">
        <f t="shared" si="8"/>
        <v>0</v>
      </c>
      <c r="S61" s="135">
        <f t="shared" si="7"/>
        <v>0</v>
      </c>
      <c r="T61" s="375"/>
    </row>
    <row r="62" spans="1:20" ht="18" customHeight="1">
      <c r="A62" s="307" t="s">
        <v>372</v>
      </c>
      <c r="B62" s="23">
        <v>0</v>
      </c>
      <c r="C62" s="23"/>
      <c r="D62" s="23"/>
      <c r="E62" s="37">
        <f t="shared" si="9"/>
        <v>0</v>
      </c>
      <c r="F62" s="255">
        <v>0</v>
      </c>
      <c r="G62" s="255">
        <v>0</v>
      </c>
      <c r="H62" s="255">
        <v>0</v>
      </c>
      <c r="I62" s="255">
        <v>0</v>
      </c>
      <c r="J62" s="255">
        <v>0</v>
      </c>
      <c r="K62" s="255">
        <v>0</v>
      </c>
      <c r="L62" s="255">
        <v>0</v>
      </c>
      <c r="M62" s="255">
        <v>0</v>
      </c>
      <c r="N62" s="255">
        <v>0</v>
      </c>
      <c r="O62" s="255">
        <v>0</v>
      </c>
      <c r="P62" s="255">
        <v>0</v>
      </c>
      <c r="Q62" s="255">
        <v>0</v>
      </c>
      <c r="R62" s="139">
        <f t="shared" si="8"/>
        <v>0</v>
      </c>
      <c r="S62" s="135">
        <f t="shared" si="7"/>
        <v>0</v>
      </c>
      <c r="T62" s="375"/>
    </row>
    <row r="63" spans="1:20" ht="18" customHeight="1">
      <c r="A63" s="307" t="s">
        <v>188</v>
      </c>
      <c r="B63" s="23">
        <v>40000</v>
      </c>
      <c r="C63" s="23"/>
      <c r="D63" s="23"/>
      <c r="E63" s="37">
        <f t="shared" si="9"/>
        <v>40000</v>
      </c>
      <c r="F63" s="255">
        <v>0</v>
      </c>
      <c r="G63" s="255">
        <v>0</v>
      </c>
      <c r="H63" s="255">
        <v>0</v>
      </c>
      <c r="I63" s="255">
        <v>0</v>
      </c>
      <c r="J63" s="255">
        <v>0</v>
      </c>
      <c r="K63" s="255">
        <v>0</v>
      </c>
      <c r="L63" s="255">
        <v>0</v>
      </c>
      <c r="M63" s="255">
        <v>37100</v>
      </c>
      <c r="N63" s="255">
        <v>0</v>
      </c>
      <c r="O63" s="255">
        <v>0</v>
      </c>
      <c r="P63" s="255">
        <v>0</v>
      </c>
      <c r="Q63" s="255">
        <v>0</v>
      </c>
      <c r="R63" s="139">
        <f t="shared" si="8"/>
        <v>37100</v>
      </c>
      <c r="S63" s="135">
        <f t="shared" si="7"/>
        <v>2900</v>
      </c>
      <c r="T63" s="375"/>
    </row>
    <row r="64" spans="1:20" ht="18" customHeight="1">
      <c r="A64" s="307" t="s">
        <v>488</v>
      </c>
      <c r="B64" s="23">
        <v>20000</v>
      </c>
      <c r="C64" s="23">
        <v>0</v>
      </c>
      <c r="D64" s="23"/>
      <c r="E64" s="37">
        <f t="shared" si="9"/>
        <v>20000</v>
      </c>
      <c r="F64" s="255">
        <v>0</v>
      </c>
      <c r="G64" s="255">
        <v>0</v>
      </c>
      <c r="H64" s="255">
        <v>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255">
        <f>5540+432+3600+10000</f>
        <v>19572</v>
      </c>
      <c r="Q64" s="255">
        <v>0</v>
      </c>
      <c r="R64" s="139">
        <f t="shared" si="8"/>
        <v>19572</v>
      </c>
      <c r="S64" s="135">
        <f t="shared" si="7"/>
        <v>428</v>
      </c>
      <c r="T64" s="375"/>
    </row>
    <row r="65" spans="1:20" s="142" customFormat="1" ht="18" customHeight="1">
      <c r="A65" s="10" t="s">
        <v>380</v>
      </c>
      <c r="B65" s="23">
        <v>0</v>
      </c>
      <c r="C65" s="23"/>
      <c r="D65" s="23"/>
      <c r="E65" s="37">
        <f t="shared" si="9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139">
        <f aca="true" t="shared" si="10" ref="R65:R78">SUM(F65:Q65)</f>
        <v>0</v>
      </c>
      <c r="S65" s="135">
        <f>E65-R65</f>
        <v>0</v>
      </c>
      <c r="T65" s="375"/>
    </row>
    <row r="66" spans="1:21" s="476" customFormat="1" ht="18" customHeight="1">
      <c r="A66" s="477" t="s">
        <v>454</v>
      </c>
      <c r="B66" s="443">
        <v>30000</v>
      </c>
      <c r="C66" s="443"/>
      <c r="D66" s="443">
        <v>0</v>
      </c>
      <c r="E66" s="444">
        <f t="shared" si="9"/>
        <v>30000</v>
      </c>
      <c r="F66" s="456">
        <v>0</v>
      </c>
      <c r="G66" s="456">
        <v>0</v>
      </c>
      <c r="H66" s="456">
        <v>0</v>
      </c>
      <c r="I66" s="456">
        <v>0</v>
      </c>
      <c r="J66" s="456">
        <v>0</v>
      </c>
      <c r="K66" s="456">
        <f>5000+750+4000+1600+8000+3600</f>
        <v>22950</v>
      </c>
      <c r="L66" s="456"/>
      <c r="M66" s="456">
        <v>0</v>
      </c>
      <c r="N66" s="456">
        <v>0</v>
      </c>
      <c r="O66" s="456">
        <v>0</v>
      </c>
      <c r="P66" s="456">
        <v>0</v>
      </c>
      <c r="Q66" s="456">
        <v>0</v>
      </c>
      <c r="R66" s="446">
        <f t="shared" si="10"/>
        <v>22950</v>
      </c>
      <c r="S66" s="447">
        <f aca="true" t="shared" si="11" ref="S66:S78">E66-R66</f>
        <v>7050</v>
      </c>
      <c r="T66" s="448"/>
      <c r="U66" s="486"/>
    </row>
    <row r="67" spans="1:20" s="142" customFormat="1" ht="18" customHeight="1">
      <c r="A67" s="10" t="s">
        <v>379</v>
      </c>
      <c r="B67" s="23">
        <v>12000</v>
      </c>
      <c r="C67" s="23">
        <v>0</v>
      </c>
      <c r="D67" s="23"/>
      <c r="E67" s="37">
        <f t="shared" si="9"/>
        <v>12000</v>
      </c>
      <c r="F67" s="26">
        <v>0</v>
      </c>
      <c r="G67" s="26">
        <v>760</v>
      </c>
      <c r="H67" s="26">
        <v>880</v>
      </c>
      <c r="I67" s="26">
        <v>760</v>
      </c>
      <c r="J67" s="26">
        <v>840</v>
      </c>
      <c r="K67" s="26">
        <v>800</v>
      </c>
      <c r="L67" s="26">
        <v>840</v>
      </c>
      <c r="M67" s="26">
        <v>680</v>
      </c>
      <c r="N67" s="26">
        <v>840</v>
      </c>
      <c r="O67" s="26">
        <v>840</v>
      </c>
      <c r="P67" s="26">
        <v>800</v>
      </c>
      <c r="Q67" s="26">
        <f>880+800</f>
        <v>1680</v>
      </c>
      <c r="R67" s="139">
        <f t="shared" si="10"/>
        <v>9720</v>
      </c>
      <c r="S67" s="135">
        <f t="shared" si="11"/>
        <v>2280</v>
      </c>
      <c r="T67" s="375"/>
    </row>
    <row r="68" spans="1:21" s="142" customFormat="1" ht="18" customHeight="1">
      <c r="A68" s="351" t="s">
        <v>453</v>
      </c>
      <c r="B68" s="23">
        <v>60000</v>
      </c>
      <c r="C68" s="23"/>
      <c r="D68" s="23"/>
      <c r="E68" s="37">
        <f t="shared" si="9"/>
        <v>60000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f>12000+12000+24300+450</f>
        <v>48750</v>
      </c>
      <c r="P68" s="26">
        <v>0</v>
      </c>
      <c r="Q68" s="26">
        <v>0</v>
      </c>
      <c r="R68" s="139">
        <f t="shared" si="10"/>
        <v>48750</v>
      </c>
      <c r="S68" s="135">
        <f t="shared" si="11"/>
        <v>11250</v>
      </c>
      <c r="T68" s="375"/>
      <c r="U68" s="256"/>
    </row>
    <row r="69" spans="1:20" s="142" customFormat="1" ht="18" customHeight="1">
      <c r="A69" s="351" t="s">
        <v>466</v>
      </c>
      <c r="B69" s="23">
        <v>20000</v>
      </c>
      <c r="C69" s="23">
        <v>0</v>
      </c>
      <c r="D69" s="23"/>
      <c r="E69" s="37">
        <f t="shared" si="9"/>
        <v>20000</v>
      </c>
      <c r="F69" s="26">
        <v>0</v>
      </c>
      <c r="G69" s="26">
        <v>0</v>
      </c>
      <c r="H69" s="26">
        <v>0</v>
      </c>
      <c r="I69" s="26">
        <v>0</v>
      </c>
      <c r="J69" s="26">
        <f>2000+8750+5000+2000+732</f>
        <v>18482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139">
        <f t="shared" si="10"/>
        <v>18482</v>
      </c>
      <c r="S69" s="135">
        <f t="shared" si="11"/>
        <v>1518</v>
      </c>
      <c r="T69" s="256"/>
    </row>
    <row r="70" spans="1:19" s="142" customFormat="1" ht="18" customHeight="1">
      <c r="A70" s="351" t="s">
        <v>487</v>
      </c>
      <c r="B70" s="23">
        <v>200000</v>
      </c>
      <c r="C70" s="23">
        <v>0</v>
      </c>
      <c r="D70" s="23"/>
      <c r="E70" s="37">
        <f t="shared" si="9"/>
        <v>200000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f>200000</f>
        <v>200000</v>
      </c>
      <c r="O70" s="26">
        <v>0</v>
      </c>
      <c r="P70" s="26">
        <v>0</v>
      </c>
      <c r="Q70" s="26">
        <v>0</v>
      </c>
      <c r="R70" s="139">
        <f>SUM(F70:Q70)</f>
        <v>200000</v>
      </c>
      <c r="S70" s="135">
        <f>E70-R70</f>
        <v>0</v>
      </c>
    </row>
    <row r="71" spans="1:20" s="142" customFormat="1" ht="18" customHeight="1">
      <c r="A71" s="351" t="s">
        <v>381</v>
      </c>
      <c r="B71" s="23">
        <v>30000</v>
      </c>
      <c r="C71" s="23"/>
      <c r="D71" s="23"/>
      <c r="E71" s="37">
        <f t="shared" si="9"/>
        <v>30000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1800</v>
      </c>
      <c r="M71" s="26">
        <f>250+450+18000+2400+7100</f>
        <v>28200</v>
      </c>
      <c r="N71" s="26">
        <v>0</v>
      </c>
      <c r="O71" s="26">
        <v>0</v>
      </c>
      <c r="P71" s="26">
        <v>0</v>
      </c>
      <c r="Q71" s="26">
        <v>0</v>
      </c>
      <c r="R71" s="139">
        <f>SUM(F71:Q71)</f>
        <v>30000</v>
      </c>
      <c r="S71" s="135">
        <f>E71-R71</f>
        <v>0</v>
      </c>
      <c r="T71" s="256"/>
    </row>
    <row r="72" spans="1:20" s="142" customFormat="1" ht="18" customHeight="1">
      <c r="A72" s="351" t="s">
        <v>382</v>
      </c>
      <c r="B72" s="23">
        <v>10000</v>
      </c>
      <c r="C72" s="23"/>
      <c r="D72" s="23"/>
      <c r="E72" s="37">
        <f t="shared" si="9"/>
        <v>10000</v>
      </c>
      <c r="F72" s="26">
        <v>0</v>
      </c>
      <c r="G72" s="26">
        <v>0</v>
      </c>
      <c r="H72" s="26">
        <v>0</v>
      </c>
      <c r="I72" s="26">
        <f>1035+432</f>
        <v>1467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139">
        <f>SUM(F72:Q72)</f>
        <v>1467</v>
      </c>
      <c r="S72" s="135">
        <f>E72-R72</f>
        <v>8533</v>
      </c>
      <c r="T72" s="256"/>
    </row>
    <row r="73" spans="1:20" s="476" customFormat="1" ht="18" customHeight="1">
      <c r="A73" s="484" t="s">
        <v>311</v>
      </c>
      <c r="B73" s="443">
        <v>15000</v>
      </c>
      <c r="C73" s="443"/>
      <c r="D73" s="443">
        <v>0</v>
      </c>
      <c r="E73" s="444">
        <f t="shared" si="9"/>
        <v>15000</v>
      </c>
      <c r="F73" s="456">
        <v>0</v>
      </c>
      <c r="G73" s="456">
        <v>0</v>
      </c>
      <c r="H73" s="456">
        <v>0</v>
      </c>
      <c r="I73" s="456">
        <v>0</v>
      </c>
      <c r="J73" s="456">
        <v>0</v>
      </c>
      <c r="K73" s="456">
        <v>0</v>
      </c>
      <c r="L73" s="456">
        <v>0</v>
      </c>
      <c r="M73" s="456">
        <f>3492+2180+6250+3000</f>
        <v>14922</v>
      </c>
      <c r="N73" s="456">
        <v>0</v>
      </c>
      <c r="O73" s="456">
        <v>0</v>
      </c>
      <c r="P73" s="456">
        <v>0</v>
      </c>
      <c r="Q73" s="456">
        <v>0</v>
      </c>
      <c r="R73" s="446">
        <f>SUM(F73:Q73)</f>
        <v>14922</v>
      </c>
      <c r="S73" s="447">
        <f>E73-R73</f>
        <v>78</v>
      </c>
      <c r="T73" s="486"/>
    </row>
    <row r="74" spans="1:20" s="142" customFormat="1" ht="18" customHeight="1">
      <c r="A74" s="351" t="s">
        <v>459</v>
      </c>
      <c r="B74" s="23">
        <v>50000</v>
      </c>
      <c r="C74" s="23"/>
      <c r="D74" s="23"/>
      <c r="E74" s="37">
        <f t="shared" si="9"/>
        <v>50000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f>10000+432+11620+3600</f>
        <v>25652</v>
      </c>
      <c r="Q74" s="26">
        <v>0</v>
      </c>
      <c r="R74" s="139">
        <f>SUM(F74:Q74)</f>
        <v>25652</v>
      </c>
      <c r="S74" s="135">
        <f>E74-R74</f>
        <v>24348</v>
      </c>
      <c r="T74" s="256"/>
    </row>
    <row r="75" spans="1:21" s="476" customFormat="1" ht="18" customHeight="1">
      <c r="A75" s="484" t="s">
        <v>387</v>
      </c>
      <c r="B75" s="443">
        <v>30000</v>
      </c>
      <c r="C75" s="458">
        <v>0</v>
      </c>
      <c r="D75" s="488"/>
      <c r="E75" s="444">
        <f t="shared" si="9"/>
        <v>30000</v>
      </c>
      <c r="F75" s="456">
        <v>0</v>
      </c>
      <c r="G75" s="456">
        <v>0</v>
      </c>
      <c r="H75" s="456">
        <v>0</v>
      </c>
      <c r="I75" s="456">
        <v>0</v>
      </c>
      <c r="J75" s="456">
        <v>0</v>
      </c>
      <c r="K75" s="456">
        <v>0</v>
      </c>
      <c r="L75" s="456">
        <v>0</v>
      </c>
      <c r="M75" s="456">
        <v>0</v>
      </c>
      <c r="N75" s="456">
        <v>0</v>
      </c>
      <c r="O75" s="456">
        <v>0</v>
      </c>
      <c r="P75" s="456">
        <v>0</v>
      </c>
      <c r="Q75" s="456">
        <v>0</v>
      </c>
      <c r="R75" s="447">
        <f t="shared" si="10"/>
        <v>0</v>
      </c>
      <c r="S75" s="447">
        <f t="shared" si="11"/>
        <v>30000</v>
      </c>
      <c r="U75" s="486"/>
    </row>
    <row r="76" spans="1:20" s="476" customFormat="1" ht="18" customHeight="1">
      <c r="A76" s="484" t="s">
        <v>388</v>
      </c>
      <c r="B76" s="443">
        <v>10000</v>
      </c>
      <c r="C76" s="461"/>
      <c r="D76" s="462"/>
      <c r="E76" s="444">
        <f t="shared" si="9"/>
        <v>10000</v>
      </c>
      <c r="F76" s="456">
        <v>0</v>
      </c>
      <c r="G76" s="456">
        <v>0</v>
      </c>
      <c r="H76" s="456">
        <v>0</v>
      </c>
      <c r="I76" s="456">
        <v>0</v>
      </c>
      <c r="J76" s="456">
        <v>0</v>
      </c>
      <c r="K76" s="456">
        <v>0</v>
      </c>
      <c r="L76" s="456">
        <v>0</v>
      </c>
      <c r="M76" s="456">
        <v>0</v>
      </c>
      <c r="N76" s="456">
        <v>0</v>
      </c>
      <c r="O76" s="456">
        <v>0</v>
      </c>
      <c r="P76" s="456">
        <f>4900+2500+432</f>
        <v>7832</v>
      </c>
      <c r="Q76" s="456">
        <v>0</v>
      </c>
      <c r="R76" s="447">
        <f>SUM(F76:Q76)</f>
        <v>7832</v>
      </c>
      <c r="S76" s="447">
        <f>E76-R76</f>
        <v>2168</v>
      </c>
      <c r="T76" s="486"/>
    </row>
    <row r="77" spans="1:20" s="142" customFormat="1" ht="18" customHeight="1">
      <c r="A77" s="351" t="s">
        <v>457</v>
      </c>
      <c r="B77" s="23">
        <v>20000</v>
      </c>
      <c r="C77" s="354"/>
      <c r="D77" s="9"/>
      <c r="E77" s="37">
        <f t="shared" si="9"/>
        <v>20000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f>4375+432+3000+12180</f>
        <v>19987</v>
      </c>
      <c r="R77" s="135">
        <f t="shared" si="10"/>
        <v>19987</v>
      </c>
      <c r="S77" s="135">
        <f t="shared" si="11"/>
        <v>13</v>
      </c>
      <c r="T77" s="256"/>
    </row>
    <row r="78" spans="1:19" s="142" customFormat="1" ht="18" customHeight="1">
      <c r="A78" s="351" t="s">
        <v>458</v>
      </c>
      <c r="B78" s="23">
        <v>20000</v>
      </c>
      <c r="C78" s="354"/>
      <c r="D78" s="9"/>
      <c r="E78" s="37">
        <f t="shared" si="9"/>
        <v>20000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135">
        <f t="shared" si="10"/>
        <v>0</v>
      </c>
      <c r="S78" s="135">
        <f t="shared" si="11"/>
        <v>20000</v>
      </c>
    </row>
    <row r="79" spans="1:19" s="476" customFormat="1" ht="18" customHeight="1">
      <c r="A79" s="484" t="s">
        <v>452</v>
      </c>
      <c r="B79" s="443">
        <v>100000</v>
      </c>
      <c r="C79" s="461">
        <v>0</v>
      </c>
      <c r="D79" s="462"/>
      <c r="E79" s="444">
        <f t="shared" si="9"/>
        <v>100000</v>
      </c>
      <c r="F79" s="456">
        <v>0</v>
      </c>
      <c r="G79" s="456">
        <v>0</v>
      </c>
      <c r="H79" s="456">
        <v>0</v>
      </c>
      <c r="I79" s="456">
        <v>0</v>
      </c>
      <c r="J79" s="456">
        <v>0</v>
      </c>
      <c r="K79" s="456">
        <v>0</v>
      </c>
      <c r="L79" s="456">
        <v>0</v>
      </c>
      <c r="M79" s="456">
        <v>97500</v>
      </c>
      <c r="N79" s="456">
        <v>0</v>
      </c>
      <c r="O79" s="456">
        <v>0</v>
      </c>
      <c r="P79" s="456">
        <v>0</v>
      </c>
      <c r="Q79" s="456">
        <v>0</v>
      </c>
      <c r="R79" s="447">
        <f>SUM(F79:Q79)</f>
        <v>97500</v>
      </c>
      <c r="S79" s="447">
        <f>E79-R79</f>
        <v>2500</v>
      </c>
    </row>
    <row r="80" spans="1:21" s="476" customFormat="1" ht="18" customHeight="1">
      <c r="A80" s="484" t="s">
        <v>400</v>
      </c>
      <c r="B80" s="485">
        <v>94000</v>
      </c>
      <c r="C80" s="461">
        <v>0</v>
      </c>
      <c r="D80" s="462">
        <v>0</v>
      </c>
      <c r="E80" s="444">
        <f t="shared" si="9"/>
        <v>94000</v>
      </c>
      <c r="F80" s="456">
        <v>0</v>
      </c>
      <c r="G80" s="456">
        <v>0</v>
      </c>
      <c r="H80" s="456">
        <v>0</v>
      </c>
      <c r="I80" s="456">
        <v>0</v>
      </c>
      <c r="J80" s="456">
        <v>0</v>
      </c>
      <c r="K80" s="456">
        <v>0</v>
      </c>
      <c r="L80" s="456">
        <v>0</v>
      </c>
      <c r="M80" s="456">
        <f>16130+3363+10000</f>
        <v>29493</v>
      </c>
      <c r="N80" s="456">
        <f>21000+15000</f>
        <v>36000</v>
      </c>
      <c r="O80" s="456">
        <v>13750</v>
      </c>
      <c r="P80" s="456">
        <v>6000</v>
      </c>
      <c r="Q80" s="456">
        <v>0</v>
      </c>
      <c r="R80" s="447">
        <f>SUM(F80:Q80)</f>
        <v>85243</v>
      </c>
      <c r="S80" s="447">
        <f>E80-R80</f>
        <v>8757</v>
      </c>
      <c r="U80" s="486"/>
    </row>
    <row r="81" spans="1:19" ht="18" customHeight="1">
      <c r="A81" s="17" t="s">
        <v>343</v>
      </c>
      <c r="B81" s="340"/>
      <c r="C81" s="401"/>
      <c r="D81" s="9"/>
      <c r="E81" s="387"/>
      <c r="F81" s="148"/>
      <c r="G81" s="148"/>
      <c r="H81" s="207"/>
      <c r="I81" s="148"/>
      <c r="J81" s="148"/>
      <c r="K81" s="148"/>
      <c r="L81" s="148"/>
      <c r="M81" s="148"/>
      <c r="N81" s="148"/>
      <c r="O81" s="148"/>
      <c r="P81" s="148"/>
      <c r="Q81" s="207"/>
      <c r="R81" s="48"/>
      <c r="S81" s="48"/>
    </row>
    <row r="82" spans="1:20" ht="18" customHeight="1">
      <c r="A82" s="10" t="s">
        <v>161</v>
      </c>
      <c r="B82" s="23">
        <v>100000</v>
      </c>
      <c r="C82" s="395"/>
      <c r="D82" s="23"/>
      <c r="E82" s="37">
        <f>+B82+C82-D82</f>
        <v>100000</v>
      </c>
      <c r="F82" s="26">
        <v>0</v>
      </c>
      <c r="G82" s="26">
        <v>0</v>
      </c>
      <c r="H82" s="26">
        <v>600</v>
      </c>
      <c r="I82" s="26">
        <f>1230+500</f>
        <v>1730</v>
      </c>
      <c r="J82" s="26">
        <v>0</v>
      </c>
      <c r="K82" s="26">
        <v>0</v>
      </c>
      <c r="L82" s="26">
        <v>0</v>
      </c>
      <c r="M82" s="26">
        <f>300+9131.38+200</f>
        <v>9631.38</v>
      </c>
      <c r="N82" s="26">
        <v>0</v>
      </c>
      <c r="O82" s="26">
        <v>14000</v>
      </c>
      <c r="P82" s="26">
        <v>1360</v>
      </c>
      <c r="Q82" s="26">
        <f>4830+300</f>
        <v>5130</v>
      </c>
      <c r="R82" s="135">
        <f>SUM(F82:Q82)</f>
        <v>32451.379999999997</v>
      </c>
      <c r="S82" s="135">
        <f>+E82-R82</f>
        <v>67548.62</v>
      </c>
      <c r="T82" s="375">
        <f>S82-67548.62</f>
        <v>0</v>
      </c>
    </row>
    <row r="83" spans="1:21" ht="18" customHeight="1" thickBot="1">
      <c r="A83" s="53" t="s">
        <v>500</v>
      </c>
      <c r="B83" s="136">
        <f>SUM(B26:B82)</f>
        <v>2393000</v>
      </c>
      <c r="C83" s="23"/>
      <c r="D83" s="23"/>
      <c r="E83" s="136">
        <f>SUM(E26:E82)</f>
        <v>2393000</v>
      </c>
      <c r="F83" s="136">
        <f aca="true" t="shared" si="12" ref="F83:S83">SUM(F26:F82)</f>
        <v>9900</v>
      </c>
      <c r="G83" s="136">
        <f t="shared" si="12"/>
        <v>53036</v>
      </c>
      <c r="H83" s="136">
        <f t="shared" si="12"/>
        <v>56346</v>
      </c>
      <c r="I83" s="136">
        <f t="shared" si="12"/>
        <v>165582</v>
      </c>
      <c r="J83" s="136">
        <f t="shared" si="12"/>
        <v>196070</v>
      </c>
      <c r="K83" s="402">
        <f t="shared" si="12"/>
        <v>91268</v>
      </c>
      <c r="L83" s="136">
        <f t="shared" si="12"/>
        <v>88754</v>
      </c>
      <c r="M83" s="136">
        <f t="shared" si="12"/>
        <v>303313.38</v>
      </c>
      <c r="N83" s="136">
        <f t="shared" si="12"/>
        <v>292429</v>
      </c>
      <c r="O83" s="136">
        <f t="shared" si="12"/>
        <v>213668</v>
      </c>
      <c r="P83" s="136">
        <f t="shared" si="12"/>
        <v>153812</v>
      </c>
      <c r="Q83" s="136">
        <f t="shared" si="12"/>
        <v>261643</v>
      </c>
      <c r="R83" s="136">
        <f t="shared" si="12"/>
        <v>1885821.38</v>
      </c>
      <c r="S83" s="136">
        <f t="shared" si="12"/>
        <v>507178.62</v>
      </c>
      <c r="T83" s="375"/>
      <c r="U83" s="375"/>
    </row>
    <row r="84" spans="1:19" ht="18" customHeight="1" thickTop="1">
      <c r="A84" s="17" t="s">
        <v>501</v>
      </c>
      <c r="B84" s="501"/>
      <c r="C84" s="23"/>
      <c r="D84" s="23"/>
      <c r="E84" s="135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139"/>
      <c r="S84" s="139"/>
    </row>
    <row r="85" spans="1:19" ht="18" customHeight="1">
      <c r="A85" s="17" t="s">
        <v>344</v>
      </c>
      <c r="B85" s="23">
        <v>75000</v>
      </c>
      <c r="C85" s="23">
        <v>0</v>
      </c>
      <c r="D85" s="23"/>
      <c r="E85" s="37">
        <f aca="true" t="shared" si="13" ref="E85:E95">+B85+C85-D85</f>
        <v>75000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50195</v>
      </c>
      <c r="L85" s="26">
        <v>0</v>
      </c>
      <c r="M85" s="26">
        <v>0</v>
      </c>
      <c r="N85" s="26">
        <v>0</v>
      </c>
      <c r="O85" s="26">
        <v>0</v>
      </c>
      <c r="P85" s="26">
        <v>9450</v>
      </c>
      <c r="Q85" s="26">
        <v>15355</v>
      </c>
      <c r="R85" s="135">
        <f aca="true" t="shared" si="14" ref="R85:R95">SUM(F85:Q85)</f>
        <v>75000</v>
      </c>
      <c r="S85" s="135">
        <f aca="true" t="shared" si="15" ref="S85:S95">+E85-R85</f>
        <v>0</v>
      </c>
    </row>
    <row r="86" spans="1:19" ht="18" customHeight="1">
      <c r="A86" s="17" t="s">
        <v>345</v>
      </c>
      <c r="B86" s="23">
        <v>8000</v>
      </c>
      <c r="C86" s="23"/>
      <c r="D86" s="23"/>
      <c r="E86" s="37">
        <f t="shared" si="13"/>
        <v>8000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7930</v>
      </c>
      <c r="R86" s="135">
        <f t="shared" si="14"/>
        <v>7930</v>
      </c>
      <c r="S86" s="135">
        <f t="shared" si="15"/>
        <v>70</v>
      </c>
    </row>
    <row r="87" spans="1:19" ht="18" customHeight="1">
      <c r="A87" s="17" t="s">
        <v>346</v>
      </c>
      <c r="B87" s="23">
        <v>35000</v>
      </c>
      <c r="C87" s="23"/>
      <c r="D87" s="23">
        <v>0</v>
      </c>
      <c r="E87" s="37">
        <f t="shared" si="13"/>
        <v>35000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13939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9465</v>
      </c>
      <c r="R87" s="135">
        <f t="shared" si="14"/>
        <v>23404</v>
      </c>
      <c r="S87" s="135">
        <f t="shared" si="15"/>
        <v>11596</v>
      </c>
    </row>
    <row r="88" spans="1:19" ht="18" customHeight="1">
      <c r="A88" s="17" t="s">
        <v>347</v>
      </c>
      <c r="B88" s="23">
        <v>8000</v>
      </c>
      <c r="C88" s="23"/>
      <c r="D88" s="23"/>
      <c r="E88" s="37">
        <f t="shared" si="13"/>
        <v>8000</v>
      </c>
      <c r="F88" s="26">
        <v>0</v>
      </c>
      <c r="G88" s="26">
        <v>0</v>
      </c>
      <c r="H88" s="26">
        <v>0</v>
      </c>
      <c r="I88" s="26">
        <v>0</v>
      </c>
      <c r="J88" s="26">
        <v>1725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135">
        <f t="shared" si="14"/>
        <v>1725</v>
      </c>
      <c r="S88" s="135">
        <f t="shared" si="15"/>
        <v>6275</v>
      </c>
    </row>
    <row r="89" spans="1:19" ht="18" customHeight="1">
      <c r="A89" s="17" t="s">
        <v>348</v>
      </c>
      <c r="B89" s="23">
        <v>35000</v>
      </c>
      <c r="C89" s="23"/>
      <c r="D89" s="23"/>
      <c r="E89" s="37">
        <f t="shared" si="13"/>
        <v>35000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3000</v>
      </c>
      <c r="N89" s="26">
        <v>0</v>
      </c>
      <c r="O89" s="26">
        <v>0</v>
      </c>
      <c r="P89" s="26">
        <v>0</v>
      </c>
      <c r="Q89" s="26">
        <v>0</v>
      </c>
      <c r="R89" s="135">
        <f t="shared" si="14"/>
        <v>3000</v>
      </c>
      <c r="S89" s="135">
        <f t="shared" si="15"/>
        <v>32000</v>
      </c>
    </row>
    <row r="90" spans="1:20" ht="18" customHeight="1">
      <c r="A90" s="17" t="s">
        <v>349</v>
      </c>
      <c r="B90" s="23">
        <v>100000</v>
      </c>
      <c r="C90" s="403">
        <v>0</v>
      </c>
      <c r="D90" s="23"/>
      <c r="E90" s="37">
        <f t="shared" si="13"/>
        <v>100000</v>
      </c>
      <c r="F90" s="26">
        <v>0</v>
      </c>
      <c r="G90" s="26">
        <v>0</v>
      </c>
      <c r="H90" s="26">
        <f>5060+9090</f>
        <v>14150</v>
      </c>
      <c r="I90" s="26">
        <v>7190</v>
      </c>
      <c r="J90" s="26">
        <v>8970</v>
      </c>
      <c r="K90" s="26">
        <v>6960</v>
      </c>
      <c r="L90" s="26">
        <v>8690</v>
      </c>
      <c r="M90" s="26">
        <v>9050</v>
      </c>
      <c r="N90" s="26">
        <v>9840</v>
      </c>
      <c r="O90" s="26">
        <v>7020</v>
      </c>
      <c r="P90" s="26">
        <v>7740</v>
      </c>
      <c r="Q90" s="26">
        <v>13600</v>
      </c>
      <c r="R90" s="135">
        <f t="shared" si="14"/>
        <v>93210</v>
      </c>
      <c r="S90" s="135">
        <f t="shared" si="15"/>
        <v>6790</v>
      </c>
      <c r="T90" s="375"/>
    </row>
    <row r="91" spans="1:19" ht="18" customHeight="1">
      <c r="A91" s="17" t="s">
        <v>350</v>
      </c>
      <c r="B91" s="23">
        <v>7000</v>
      </c>
      <c r="C91" s="403"/>
      <c r="D91" s="23">
        <v>0</v>
      </c>
      <c r="E91" s="37">
        <f t="shared" si="13"/>
        <v>7000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135">
        <f t="shared" si="14"/>
        <v>0</v>
      </c>
      <c r="S91" s="135">
        <f t="shared" si="15"/>
        <v>7000</v>
      </c>
    </row>
    <row r="92" spans="1:19" ht="18" customHeight="1">
      <c r="A92" s="17" t="s">
        <v>351</v>
      </c>
      <c r="B92" s="23">
        <v>5000</v>
      </c>
      <c r="C92" s="403"/>
      <c r="D92" s="23">
        <v>0</v>
      </c>
      <c r="E92" s="37">
        <f t="shared" si="13"/>
        <v>5000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135">
        <f t="shared" si="14"/>
        <v>0</v>
      </c>
      <c r="S92" s="135">
        <f t="shared" si="15"/>
        <v>5000</v>
      </c>
    </row>
    <row r="93" spans="1:19" ht="18" customHeight="1">
      <c r="A93" s="404" t="s">
        <v>352</v>
      </c>
      <c r="B93" s="23">
        <v>70000</v>
      </c>
      <c r="C93" s="403"/>
      <c r="D93" s="23">
        <v>0</v>
      </c>
      <c r="E93" s="37">
        <f t="shared" si="13"/>
        <v>70000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26420</v>
      </c>
      <c r="M93" s="26">
        <v>0</v>
      </c>
      <c r="N93" s="26">
        <v>0</v>
      </c>
      <c r="O93" s="26">
        <v>0</v>
      </c>
      <c r="P93" s="26">
        <v>0</v>
      </c>
      <c r="Q93" s="26">
        <v>43220</v>
      </c>
      <c r="R93" s="135">
        <f t="shared" si="14"/>
        <v>69640</v>
      </c>
      <c r="S93" s="135">
        <f t="shared" si="15"/>
        <v>360</v>
      </c>
    </row>
    <row r="94" spans="1:19" ht="18" customHeight="1">
      <c r="A94" s="17" t="s">
        <v>353</v>
      </c>
      <c r="B94" s="23">
        <v>10000</v>
      </c>
      <c r="C94" s="403"/>
      <c r="D94" s="23"/>
      <c r="E94" s="37">
        <f t="shared" si="13"/>
        <v>10000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9835</v>
      </c>
      <c r="R94" s="135">
        <f t="shared" si="14"/>
        <v>9835</v>
      </c>
      <c r="S94" s="135">
        <f t="shared" si="15"/>
        <v>165</v>
      </c>
    </row>
    <row r="95" spans="1:19" ht="18" customHeight="1">
      <c r="A95" s="17" t="s">
        <v>354</v>
      </c>
      <c r="B95" s="339"/>
      <c r="C95" s="395"/>
      <c r="D95" s="23"/>
      <c r="E95" s="37">
        <f t="shared" si="13"/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135">
        <f t="shared" si="14"/>
        <v>0</v>
      </c>
      <c r="S95" s="135">
        <f t="shared" si="15"/>
        <v>0</v>
      </c>
    </row>
    <row r="96" spans="1:19" ht="18" customHeight="1" thickBot="1">
      <c r="A96" s="18" t="s">
        <v>502</v>
      </c>
      <c r="B96" s="136">
        <f>SUM(B85:B95)</f>
        <v>353000</v>
      </c>
      <c r="C96" s="395"/>
      <c r="D96" s="23"/>
      <c r="E96" s="136">
        <f aca="true" t="shared" si="16" ref="E96:S96">SUM(E85:E95)</f>
        <v>353000</v>
      </c>
      <c r="F96" s="136">
        <f t="shared" si="16"/>
        <v>0</v>
      </c>
      <c r="G96" s="136">
        <f t="shared" si="16"/>
        <v>0</v>
      </c>
      <c r="H96" s="136">
        <f t="shared" si="16"/>
        <v>14150</v>
      </c>
      <c r="I96" s="136">
        <f t="shared" si="16"/>
        <v>7190</v>
      </c>
      <c r="J96" s="136">
        <f t="shared" si="16"/>
        <v>10695</v>
      </c>
      <c r="K96" s="136">
        <f t="shared" si="16"/>
        <v>71094</v>
      </c>
      <c r="L96" s="136">
        <f t="shared" si="16"/>
        <v>35110</v>
      </c>
      <c r="M96" s="136">
        <f t="shared" si="16"/>
        <v>12050</v>
      </c>
      <c r="N96" s="136">
        <f t="shared" si="16"/>
        <v>9840</v>
      </c>
      <c r="O96" s="136">
        <f t="shared" si="16"/>
        <v>7020</v>
      </c>
      <c r="P96" s="136">
        <f t="shared" si="16"/>
        <v>17190</v>
      </c>
      <c r="Q96" s="136">
        <f t="shared" si="16"/>
        <v>99405</v>
      </c>
      <c r="R96" s="42">
        <f t="shared" si="16"/>
        <v>283744</v>
      </c>
      <c r="S96" s="42">
        <f t="shared" si="16"/>
        <v>69256</v>
      </c>
    </row>
    <row r="97" spans="1:19" ht="18" customHeight="1" thickTop="1">
      <c r="A97" s="17" t="s">
        <v>503</v>
      </c>
      <c r="B97" s="506"/>
      <c r="C97" s="395"/>
      <c r="D97" s="23"/>
      <c r="E97" s="1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139"/>
      <c r="S97" s="139"/>
    </row>
    <row r="98" spans="1:21" ht="18" customHeight="1">
      <c r="A98" s="407" t="s">
        <v>504</v>
      </c>
      <c r="B98" s="23">
        <v>120000</v>
      </c>
      <c r="C98" s="395"/>
      <c r="D98" s="23"/>
      <c r="E98" s="37">
        <f>+B98+C98-D98</f>
        <v>120000</v>
      </c>
      <c r="F98" s="26">
        <v>10468.87</v>
      </c>
      <c r="G98" s="26">
        <f>8465.42+527.9</f>
        <v>8993.32</v>
      </c>
      <c r="H98" s="26">
        <v>5883.75</v>
      </c>
      <c r="I98" s="26">
        <v>6200.7</v>
      </c>
      <c r="J98" s="26">
        <f>4876.72+4896.8</f>
        <v>9773.52</v>
      </c>
      <c r="K98" s="26">
        <v>0</v>
      </c>
      <c r="L98" s="26">
        <v>8146.58</v>
      </c>
      <c r="M98" s="26">
        <v>9687.21</v>
      </c>
      <c r="N98" s="26">
        <v>9947.99</v>
      </c>
      <c r="O98" s="26">
        <v>9911.88</v>
      </c>
      <c r="P98" s="26">
        <f>10413.39+8371.24</f>
        <v>18784.629999999997</v>
      </c>
      <c r="Q98" s="26">
        <v>8981.08</v>
      </c>
      <c r="R98" s="135">
        <f>SUM(F98:Q98)</f>
        <v>106779.53000000001</v>
      </c>
      <c r="S98" s="135">
        <f>+E98-R98</f>
        <v>13220.469999999987</v>
      </c>
      <c r="U98" s="375"/>
    </row>
    <row r="99" spans="1:19" ht="18" customHeight="1">
      <c r="A99" s="407" t="s">
        <v>505</v>
      </c>
      <c r="B99" s="23">
        <v>50000</v>
      </c>
      <c r="C99" s="395"/>
      <c r="D99" s="23"/>
      <c r="E99" s="37">
        <f>+B99+C99-D99</f>
        <v>50000</v>
      </c>
      <c r="F99" s="26">
        <v>1772.35</v>
      </c>
      <c r="G99" s="26">
        <v>5532.65</v>
      </c>
      <c r="H99" s="26">
        <v>0</v>
      </c>
      <c r="I99" s="26">
        <v>18692.37</v>
      </c>
      <c r="J99" s="26">
        <v>4418.14</v>
      </c>
      <c r="K99" s="26">
        <v>1240.77</v>
      </c>
      <c r="L99" s="26">
        <v>1656.79</v>
      </c>
      <c r="M99" s="26">
        <v>1356.33</v>
      </c>
      <c r="N99" s="26">
        <v>1240.77</v>
      </c>
      <c r="O99" s="26">
        <v>1587.45</v>
      </c>
      <c r="P99" s="26">
        <v>2281.99</v>
      </c>
      <c r="Q99" s="26">
        <v>2027.12</v>
      </c>
      <c r="R99" s="135">
        <f>SUM(F99:Q99)</f>
        <v>41806.729999999996</v>
      </c>
      <c r="S99" s="135">
        <f>+E99-R99</f>
        <v>8193.270000000004</v>
      </c>
    </row>
    <row r="100" spans="1:20" ht="18" customHeight="1">
      <c r="A100" s="407" t="s">
        <v>506</v>
      </c>
      <c r="B100" s="23">
        <v>15000</v>
      </c>
      <c r="C100" s="395"/>
      <c r="D100" s="23"/>
      <c r="E100" s="37">
        <f>+B100+C100-D100</f>
        <v>15000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135">
        <f>SUM(F100:Q100)</f>
        <v>0</v>
      </c>
      <c r="S100" s="135">
        <f>+E100-R100</f>
        <v>15000</v>
      </c>
      <c r="T100" s="375"/>
    </row>
    <row r="101" spans="1:19" ht="18" customHeight="1">
      <c r="A101" s="407" t="s">
        <v>507</v>
      </c>
      <c r="B101" s="23">
        <v>10000</v>
      </c>
      <c r="C101" s="403"/>
      <c r="D101" s="23"/>
      <c r="E101" s="37">
        <f>+B101+C101-D101</f>
        <v>10000</v>
      </c>
      <c r="F101" s="26">
        <v>0</v>
      </c>
      <c r="G101" s="26">
        <v>0</v>
      </c>
      <c r="H101" s="26">
        <v>297</v>
      </c>
      <c r="I101" s="26">
        <v>2023</v>
      </c>
      <c r="J101" s="26">
        <v>389</v>
      </c>
      <c r="K101" s="26">
        <v>0</v>
      </c>
      <c r="L101" s="26">
        <v>213</v>
      </c>
      <c r="M101" s="26">
        <v>0</v>
      </c>
      <c r="N101" s="26">
        <v>148</v>
      </c>
      <c r="O101" s="26">
        <v>0</v>
      </c>
      <c r="P101" s="26">
        <v>0</v>
      </c>
      <c r="Q101" s="26">
        <v>0</v>
      </c>
      <c r="R101" s="135">
        <f>SUM(F101:Q101)</f>
        <v>3070</v>
      </c>
      <c r="S101" s="135">
        <f>+E101-R101</f>
        <v>6930</v>
      </c>
    </row>
    <row r="102" spans="1:20" ht="18" customHeight="1">
      <c r="A102" s="407" t="s">
        <v>508</v>
      </c>
      <c r="B102" s="23">
        <v>40000</v>
      </c>
      <c r="C102" s="23"/>
      <c r="D102" s="23"/>
      <c r="E102" s="50">
        <f>+B102+C102-D102</f>
        <v>40000</v>
      </c>
      <c r="F102" s="26">
        <v>1339.64</v>
      </c>
      <c r="G102" s="26">
        <f>918+1354.62</f>
        <v>2272.62</v>
      </c>
      <c r="H102" s="26">
        <v>1350.88</v>
      </c>
      <c r="I102" s="26">
        <f>2400+1339.11</f>
        <v>3739.1099999999997</v>
      </c>
      <c r="J102" s="26">
        <v>1354.09</v>
      </c>
      <c r="K102" s="26">
        <v>1340.71</v>
      </c>
      <c r="L102" s="26">
        <v>1336.43</v>
      </c>
      <c r="M102" s="26">
        <v>1338.57</v>
      </c>
      <c r="N102" s="26">
        <v>1344.46</v>
      </c>
      <c r="O102" s="26">
        <v>1348.74</v>
      </c>
      <c r="P102" s="26">
        <v>1344.46</v>
      </c>
      <c r="Q102" s="26">
        <v>1336.43</v>
      </c>
      <c r="R102" s="135">
        <f>SUM(F102:Q102)</f>
        <v>19446.14</v>
      </c>
      <c r="S102" s="135">
        <f>+E102-R102</f>
        <v>20553.86</v>
      </c>
      <c r="T102" s="375"/>
    </row>
    <row r="103" spans="1:20" ht="18" customHeight="1" thickBot="1">
      <c r="A103" s="18" t="s">
        <v>509</v>
      </c>
      <c r="B103" s="136">
        <f>SUM(B98:B102)</f>
        <v>235000</v>
      </c>
      <c r="C103" s="395"/>
      <c r="D103" s="23"/>
      <c r="E103" s="136">
        <f>SUM(E98:E102)</f>
        <v>235000</v>
      </c>
      <c r="F103" s="136">
        <f aca="true" t="shared" si="17" ref="F103:S103">SUM(F98:F102)</f>
        <v>13580.86</v>
      </c>
      <c r="G103" s="136">
        <f t="shared" si="17"/>
        <v>16798.59</v>
      </c>
      <c r="H103" s="136">
        <f t="shared" si="17"/>
        <v>7531.63</v>
      </c>
      <c r="I103" s="136">
        <f t="shared" si="17"/>
        <v>30655.18</v>
      </c>
      <c r="J103" s="136">
        <f t="shared" si="17"/>
        <v>15934.75</v>
      </c>
      <c r="K103" s="136">
        <f t="shared" si="17"/>
        <v>2581.48</v>
      </c>
      <c r="L103" s="136">
        <f t="shared" si="17"/>
        <v>11352.8</v>
      </c>
      <c r="M103" s="136">
        <f t="shared" si="17"/>
        <v>12382.109999999999</v>
      </c>
      <c r="N103" s="136">
        <f t="shared" si="17"/>
        <v>12681.220000000001</v>
      </c>
      <c r="O103" s="136">
        <f t="shared" si="17"/>
        <v>12848.07</v>
      </c>
      <c r="P103" s="136">
        <f t="shared" si="17"/>
        <v>22411.079999999994</v>
      </c>
      <c r="Q103" s="136">
        <f t="shared" si="17"/>
        <v>12344.630000000001</v>
      </c>
      <c r="R103" s="136">
        <f t="shared" si="17"/>
        <v>171102.40000000002</v>
      </c>
      <c r="S103" s="136">
        <f t="shared" si="17"/>
        <v>63897.59999999999</v>
      </c>
      <c r="T103" s="375"/>
    </row>
    <row r="104" spans="1:19" ht="17.25" customHeight="1" thickTop="1">
      <c r="A104" s="17" t="s">
        <v>239</v>
      </c>
      <c r="B104" s="504"/>
      <c r="C104" s="23"/>
      <c r="D104" s="23"/>
      <c r="E104" s="13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135"/>
      <c r="S104" s="135"/>
    </row>
    <row r="105" spans="1:19" ht="17.25" customHeight="1">
      <c r="A105" s="17" t="s">
        <v>240</v>
      </c>
      <c r="B105" s="504"/>
      <c r="C105" s="23"/>
      <c r="D105" s="23"/>
      <c r="E105" s="13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135"/>
      <c r="S105" s="135"/>
    </row>
    <row r="106" spans="1:19" ht="17.25" customHeight="1">
      <c r="A106" s="10" t="s">
        <v>416</v>
      </c>
      <c r="B106" s="343">
        <v>5500</v>
      </c>
      <c r="C106" s="23"/>
      <c r="D106" s="23"/>
      <c r="E106" s="155">
        <f>+B106+C106-D106</f>
        <v>5500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5500</v>
      </c>
      <c r="N106" s="39">
        <v>0</v>
      </c>
      <c r="O106" s="39">
        <v>0</v>
      </c>
      <c r="P106" s="39">
        <v>0</v>
      </c>
      <c r="Q106" s="39">
        <v>0</v>
      </c>
      <c r="R106" s="135">
        <f>SUM(F106:Q106)</f>
        <v>5500</v>
      </c>
      <c r="S106" s="135">
        <f>+E106-R106</f>
        <v>0</v>
      </c>
    </row>
    <row r="107" spans="1:19" ht="17.25" customHeight="1">
      <c r="A107" s="10" t="s">
        <v>417</v>
      </c>
      <c r="B107" s="23">
        <v>4400</v>
      </c>
      <c r="C107" s="23"/>
      <c r="D107" s="23"/>
      <c r="E107" s="37">
        <f>+B107+C107-D107</f>
        <v>4400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4400</v>
      </c>
      <c r="N107" s="39">
        <v>0</v>
      </c>
      <c r="O107" s="39">
        <v>0</v>
      </c>
      <c r="P107" s="39">
        <v>0</v>
      </c>
      <c r="Q107" s="39">
        <v>0</v>
      </c>
      <c r="R107" s="135">
        <f>SUM(F107:Q107)</f>
        <v>4400</v>
      </c>
      <c r="S107" s="135">
        <f>+E107-R107</f>
        <v>0</v>
      </c>
    </row>
    <row r="108" spans="1:19" s="302" customFormat="1" ht="17.25" customHeight="1">
      <c r="A108" s="449" t="s">
        <v>418</v>
      </c>
      <c r="B108" s="443">
        <v>3500</v>
      </c>
      <c r="C108" s="443"/>
      <c r="D108" s="443">
        <v>0</v>
      </c>
      <c r="E108" s="444">
        <f>+B108+C108-D108</f>
        <v>3500</v>
      </c>
      <c r="F108" s="452">
        <v>0</v>
      </c>
      <c r="G108" s="452">
        <v>0</v>
      </c>
      <c r="H108" s="452">
        <v>0</v>
      </c>
      <c r="I108" s="452">
        <v>0</v>
      </c>
      <c r="J108" s="452">
        <v>0</v>
      </c>
      <c r="K108" s="452">
        <v>0</v>
      </c>
      <c r="L108" s="452">
        <v>0</v>
      </c>
      <c r="M108" s="452">
        <v>0</v>
      </c>
      <c r="N108" s="452">
        <v>0</v>
      </c>
      <c r="O108" s="452">
        <v>0</v>
      </c>
      <c r="P108" s="452">
        <v>0</v>
      </c>
      <c r="Q108" s="452">
        <v>0</v>
      </c>
      <c r="R108" s="447">
        <f>SUM(F108:Q108)</f>
        <v>0</v>
      </c>
      <c r="S108" s="447">
        <f>+E108-R108</f>
        <v>3500</v>
      </c>
    </row>
    <row r="109" spans="1:19" ht="17.25" customHeight="1">
      <c r="A109" s="10" t="s">
        <v>419</v>
      </c>
      <c r="B109" s="23">
        <v>3000</v>
      </c>
      <c r="C109" s="23"/>
      <c r="D109" s="23"/>
      <c r="E109" s="37">
        <f>+B109+C109-D109</f>
        <v>3000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3000</v>
      </c>
      <c r="R109" s="135">
        <f>SUM(F109:Q109)</f>
        <v>3000</v>
      </c>
      <c r="S109" s="135">
        <f>+E109-R109</f>
        <v>0</v>
      </c>
    </row>
    <row r="110" spans="1:20" ht="17.25" customHeight="1">
      <c r="A110" s="17" t="s">
        <v>510</v>
      </c>
      <c r="B110" s="504"/>
      <c r="C110" s="342"/>
      <c r="D110" s="342"/>
      <c r="E110" s="37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135"/>
      <c r="S110" s="135"/>
      <c r="T110" s="375"/>
    </row>
    <row r="111" spans="1:19" s="302" customFormat="1" ht="17.25" customHeight="1">
      <c r="A111" s="449" t="s">
        <v>420</v>
      </c>
      <c r="B111" s="443">
        <v>15000</v>
      </c>
      <c r="C111" s="453"/>
      <c r="D111" s="453"/>
      <c r="E111" s="444">
        <f>+B111+C111-D111</f>
        <v>15000</v>
      </c>
      <c r="F111" s="452">
        <v>0</v>
      </c>
      <c r="G111" s="452">
        <v>0</v>
      </c>
      <c r="H111" s="452">
        <v>0</v>
      </c>
      <c r="I111" s="452">
        <v>0</v>
      </c>
      <c r="J111" s="452">
        <v>0</v>
      </c>
      <c r="K111" s="452">
        <v>0</v>
      </c>
      <c r="L111" s="452">
        <v>0</v>
      </c>
      <c r="M111" s="452">
        <v>12990</v>
      </c>
      <c r="N111" s="452">
        <v>0</v>
      </c>
      <c r="O111" s="452">
        <v>0</v>
      </c>
      <c r="P111" s="452">
        <v>0</v>
      </c>
      <c r="Q111" s="452">
        <v>0</v>
      </c>
      <c r="R111" s="447">
        <f>SUM(F111:Q111)</f>
        <v>12990</v>
      </c>
      <c r="S111" s="447">
        <f>+E111-R111</f>
        <v>2010</v>
      </c>
    </row>
    <row r="112" spans="1:19" ht="17.25" customHeight="1">
      <c r="A112" s="17" t="s">
        <v>511</v>
      </c>
      <c r="B112" s="504"/>
      <c r="C112" s="342"/>
      <c r="D112" s="342"/>
      <c r="E112" s="37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135"/>
      <c r="S112" s="135"/>
    </row>
    <row r="113" spans="1:19" s="302" customFormat="1" ht="17.25" customHeight="1">
      <c r="A113" s="449" t="s">
        <v>422</v>
      </c>
      <c r="B113" s="443">
        <v>9400</v>
      </c>
      <c r="C113" s="453"/>
      <c r="D113" s="453"/>
      <c r="E113" s="444">
        <f>+B113+C113-D113</f>
        <v>9400</v>
      </c>
      <c r="F113" s="452">
        <v>0</v>
      </c>
      <c r="G113" s="452">
        <v>0</v>
      </c>
      <c r="H113" s="452">
        <v>0</v>
      </c>
      <c r="I113" s="452">
        <v>0</v>
      </c>
      <c r="J113" s="452">
        <v>0</v>
      </c>
      <c r="K113" s="452">
        <v>0</v>
      </c>
      <c r="L113" s="452">
        <v>0</v>
      </c>
      <c r="M113" s="452">
        <v>7990</v>
      </c>
      <c r="N113" s="452">
        <v>0</v>
      </c>
      <c r="O113" s="452">
        <v>0</v>
      </c>
      <c r="P113" s="452">
        <v>0</v>
      </c>
      <c r="Q113" s="452">
        <v>0</v>
      </c>
      <c r="R113" s="447">
        <f>SUM(F113:Q113)</f>
        <v>7990</v>
      </c>
      <c r="S113" s="447">
        <f>+E113-R113</f>
        <v>1410</v>
      </c>
    </row>
    <row r="114" spans="1:19" ht="17.25" customHeight="1" thickBot="1">
      <c r="A114" s="53" t="s">
        <v>512</v>
      </c>
      <c r="B114" s="344"/>
      <c r="C114" s="342"/>
      <c r="D114" s="342"/>
      <c r="E114" s="158">
        <f aca="true" t="shared" si="18" ref="E114:S114">SUM(E106:E113)</f>
        <v>40800</v>
      </c>
      <c r="F114" s="158">
        <f t="shared" si="18"/>
        <v>0</v>
      </c>
      <c r="G114" s="158">
        <f t="shared" si="18"/>
        <v>0</v>
      </c>
      <c r="H114" s="158">
        <f t="shared" si="18"/>
        <v>0</v>
      </c>
      <c r="I114" s="158">
        <f t="shared" si="18"/>
        <v>0</v>
      </c>
      <c r="J114" s="158">
        <f t="shared" si="18"/>
        <v>0</v>
      </c>
      <c r="K114" s="158">
        <f t="shared" si="18"/>
        <v>0</v>
      </c>
      <c r="L114" s="158">
        <f t="shared" si="18"/>
        <v>0</v>
      </c>
      <c r="M114" s="158">
        <f t="shared" si="18"/>
        <v>30880</v>
      </c>
      <c r="N114" s="158">
        <f t="shared" si="18"/>
        <v>0</v>
      </c>
      <c r="O114" s="158">
        <f t="shared" si="18"/>
        <v>0</v>
      </c>
      <c r="P114" s="158">
        <f t="shared" si="18"/>
        <v>0</v>
      </c>
      <c r="Q114" s="158">
        <f t="shared" si="18"/>
        <v>3000</v>
      </c>
      <c r="R114" s="158">
        <f t="shared" si="18"/>
        <v>33880</v>
      </c>
      <c r="S114" s="158">
        <f t="shared" si="18"/>
        <v>6920</v>
      </c>
    </row>
    <row r="115" spans="1:19" ht="17.25" customHeight="1" thickTop="1">
      <c r="A115" s="10" t="s">
        <v>233</v>
      </c>
      <c r="B115" s="503"/>
      <c r="C115" s="342"/>
      <c r="D115" s="342"/>
      <c r="E115" s="37"/>
      <c r="F115" s="411"/>
      <c r="G115" s="114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135"/>
      <c r="S115" s="135"/>
    </row>
    <row r="116" spans="1:19" ht="17.25" customHeight="1">
      <c r="A116" s="17" t="s">
        <v>277</v>
      </c>
      <c r="B116" s="502"/>
      <c r="C116" s="395"/>
      <c r="D116" s="23"/>
      <c r="E116" s="37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135"/>
      <c r="S116" s="135"/>
    </row>
    <row r="117" spans="1:19" s="302" customFormat="1" ht="17.25" customHeight="1">
      <c r="A117" s="449" t="s">
        <v>423</v>
      </c>
      <c r="B117" s="443">
        <v>11000</v>
      </c>
      <c r="C117" s="455"/>
      <c r="D117" s="443"/>
      <c r="E117" s="444">
        <f>+B117+C117-D117</f>
        <v>11000</v>
      </c>
      <c r="F117" s="456">
        <v>0</v>
      </c>
      <c r="G117" s="456">
        <v>0</v>
      </c>
      <c r="H117" s="456">
        <v>0</v>
      </c>
      <c r="I117" s="456">
        <v>0</v>
      </c>
      <c r="J117" s="456">
        <v>0</v>
      </c>
      <c r="K117" s="456">
        <v>0</v>
      </c>
      <c r="L117" s="456">
        <v>11000</v>
      </c>
      <c r="M117" s="456">
        <v>0</v>
      </c>
      <c r="N117" s="456">
        <v>0</v>
      </c>
      <c r="O117" s="456">
        <v>0</v>
      </c>
      <c r="P117" s="456">
        <v>0</v>
      </c>
      <c r="Q117" s="456">
        <v>0</v>
      </c>
      <c r="R117" s="447">
        <f>SUM(F117:Q117)</f>
        <v>11000</v>
      </c>
      <c r="S117" s="447">
        <f>+E117-R117</f>
        <v>0</v>
      </c>
    </row>
    <row r="118" spans="1:19" ht="17.25" customHeight="1" thickBot="1">
      <c r="A118" s="10"/>
      <c r="B118" s="509">
        <f>E118</f>
        <v>11000</v>
      </c>
      <c r="C118" s="408"/>
      <c r="D118" s="408"/>
      <c r="E118" s="409">
        <f aca="true" t="shared" si="19" ref="E118:S118">SUM(E116:E117)</f>
        <v>11000</v>
      </c>
      <c r="F118" s="409">
        <f t="shared" si="19"/>
        <v>0</v>
      </c>
      <c r="G118" s="409">
        <f t="shared" si="19"/>
        <v>0</v>
      </c>
      <c r="H118" s="409">
        <f t="shared" si="19"/>
        <v>0</v>
      </c>
      <c r="I118" s="409">
        <f t="shared" si="19"/>
        <v>0</v>
      </c>
      <c r="J118" s="409">
        <f t="shared" si="19"/>
        <v>0</v>
      </c>
      <c r="K118" s="409">
        <f t="shared" si="19"/>
        <v>0</v>
      </c>
      <c r="L118" s="409">
        <f t="shared" si="19"/>
        <v>11000</v>
      </c>
      <c r="M118" s="409">
        <f t="shared" si="19"/>
        <v>0</v>
      </c>
      <c r="N118" s="409">
        <f t="shared" si="19"/>
        <v>0</v>
      </c>
      <c r="O118" s="409">
        <f t="shared" si="19"/>
        <v>0</v>
      </c>
      <c r="P118" s="409">
        <f t="shared" si="19"/>
        <v>0</v>
      </c>
      <c r="Q118" s="409">
        <f t="shared" si="19"/>
        <v>0</v>
      </c>
      <c r="R118" s="409">
        <f t="shared" si="19"/>
        <v>11000</v>
      </c>
      <c r="S118" s="409">
        <f t="shared" si="19"/>
        <v>0</v>
      </c>
    </row>
    <row r="119" spans="1:19" ht="17.25" customHeight="1" thickTop="1">
      <c r="A119" s="20" t="s">
        <v>276</v>
      </c>
      <c r="B119" s="346">
        <v>18000</v>
      </c>
      <c r="C119" s="395"/>
      <c r="D119" s="23"/>
      <c r="E119" s="37">
        <f>+B119+C119-D119</f>
        <v>18000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18000</v>
      </c>
      <c r="R119" s="135">
        <f>SUM(F119:Q119)</f>
        <v>18000</v>
      </c>
      <c r="S119" s="135">
        <f>+E119-R119</f>
        <v>0</v>
      </c>
    </row>
    <row r="120" spans="1:19" ht="17.25" customHeight="1">
      <c r="A120" s="10"/>
      <c r="B120" s="346"/>
      <c r="C120" s="395"/>
      <c r="D120" s="23"/>
      <c r="E120" s="50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135"/>
      <c r="S120" s="135"/>
    </row>
    <row r="121" spans="1:19" ht="21" customHeight="1" thickBot="1">
      <c r="A121" s="17"/>
      <c r="B121" s="347"/>
      <c r="C121" s="23"/>
      <c r="D121" s="23"/>
      <c r="E121" s="181">
        <f>E16+E23+E83+E96+E103+E114+E118+E119</f>
        <v>9194350</v>
      </c>
      <c r="F121" s="181">
        <f>F16+F23+F83+F96+F103+F114+F118+F119</f>
        <v>418480.86</v>
      </c>
      <c r="G121" s="181">
        <f aca="true" t="shared" si="20" ref="G121:S121">G16+G23+G83+G96+G103+G114+G118+G119</f>
        <v>584422.84</v>
      </c>
      <c r="H121" s="181">
        <f t="shared" si="20"/>
        <v>517882.63</v>
      </c>
      <c r="I121" s="181">
        <f t="shared" si="20"/>
        <v>640282.18</v>
      </c>
      <c r="J121" s="181">
        <f t="shared" si="20"/>
        <v>677064.75</v>
      </c>
      <c r="K121" s="181">
        <f t="shared" si="20"/>
        <v>616858.48</v>
      </c>
      <c r="L121" s="181">
        <f t="shared" si="20"/>
        <v>603506.8</v>
      </c>
      <c r="M121" s="181">
        <f t="shared" si="20"/>
        <v>812515.49</v>
      </c>
      <c r="N121" s="181">
        <f t="shared" si="20"/>
        <v>781183.72</v>
      </c>
      <c r="O121" s="181">
        <f t="shared" si="20"/>
        <v>687548.07</v>
      </c>
      <c r="P121" s="181">
        <f t="shared" si="20"/>
        <v>647403.08</v>
      </c>
      <c r="Q121" s="181">
        <f t="shared" si="20"/>
        <v>1452482.63</v>
      </c>
      <c r="R121" s="181">
        <f t="shared" si="20"/>
        <v>8439631.530000001</v>
      </c>
      <c r="S121" s="181">
        <f t="shared" si="20"/>
        <v>754718.47</v>
      </c>
    </row>
    <row r="122" spans="1:19" ht="21" customHeight="1" thickTop="1">
      <c r="A122" s="414"/>
      <c r="B122" s="348"/>
      <c r="C122" s="348"/>
      <c r="D122" s="348"/>
      <c r="E122" s="137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137"/>
      <c r="S122" s="137"/>
    </row>
    <row r="123" spans="1:19" ht="59.25" customHeight="1">
      <c r="A123" s="416"/>
      <c r="B123" s="348"/>
      <c r="C123" s="348"/>
      <c r="D123" s="348"/>
      <c r="E123" s="137"/>
      <c r="F123" s="85"/>
      <c r="G123" s="85"/>
      <c r="H123" s="85"/>
      <c r="I123" s="417"/>
      <c r="J123" s="85"/>
      <c r="K123" s="85"/>
      <c r="L123" s="85"/>
      <c r="M123" s="85"/>
      <c r="N123" s="85"/>
      <c r="O123" s="85"/>
      <c r="P123" s="85"/>
      <c r="Q123" s="418"/>
      <c r="R123" s="137"/>
      <c r="S123" s="137"/>
    </row>
    <row r="124" spans="1:19" ht="42" customHeight="1">
      <c r="A124" s="416">
        <v>24730000</v>
      </c>
      <c r="B124" s="662">
        <f>E40+E44+E47+E48+E54+E57+E58+E66+E73+E75+E76+E79+E80+E108+E111+E113+E117</f>
        <v>747900</v>
      </c>
      <c r="C124" s="662"/>
      <c r="D124" s="662"/>
      <c r="E124" s="114"/>
      <c r="F124" s="495">
        <f aca="true" t="shared" si="21" ref="F124:R124">F40+F44+F47+F48+F54+F57+F58+F66+F73+F75+F76+F79+F80+F108+F111+F113+F117</f>
        <v>0</v>
      </c>
      <c r="G124" s="495">
        <f t="shared" si="21"/>
        <v>0</v>
      </c>
      <c r="H124" s="495">
        <f t="shared" si="21"/>
        <v>0</v>
      </c>
      <c r="I124" s="495">
        <f t="shared" si="21"/>
        <v>84575</v>
      </c>
      <c r="J124" s="495">
        <f t="shared" si="21"/>
        <v>115250</v>
      </c>
      <c r="K124" s="495">
        <f t="shared" si="21"/>
        <v>22950</v>
      </c>
      <c r="L124" s="495">
        <f t="shared" si="21"/>
        <v>11000</v>
      </c>
      <c r="M124" s="495">
        <f t="shared" si="21"/>
        <v>166377</v>
      </c>
      <c r="N124" s="495">
        <f t="shared" si="21"/>
        <v>36000</v>
      </c>
      <c r="O124" s="495">
        <f t="shared" si="21"/>
        <v>89265</v>
      </c>
      <c r="P124" s="495">
        <f t="shared" si="21"/>
        <v>23832</v>
      </c>
      <c r="Q124" s="495">
        <f t="shared" si="21"/>
        <v>128175</v>
      </c>
      <c r="R124" s="495">
        <f t="shared" si="21"/>
        <v>677424</v>
      </c>
      <c r="S124" s="137"/>
    </row>
    <row r="125" spans="1:19" ht="28.5" customHeight="1">
      <c r="A125" s="416"/>
      <c r="B125" s="348"/>
      <c r="C125" s="348"/>
      <c r="D125" s="348"/>
      <c r="E125" s="114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137"/>
      <c r="S125" s="137"/>
    </row>
    <row r="126" spans="1:19" ht="21" customHeight="1">
      <c r="A126" s="419"/>
      <c r="B126" s="348"/>
      <c r="C126" s="348"/>
      <c r="D126" s="348"/>
      <c r="E126" s="114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137"/>
      <c r="S126" s="137"/>
    </row>
    <row r="127" spans="1:19" ht="44.25" customHeight="1">
      <c r="A127" s="416">
        <f>E121+การคลัง!G59+ส่วนโยธา!G97+ส่วนศึกษา!G96+งบกลาง!G14</f>
        <v>24730000</v>
      </c>
      <c r="B127" s="348"/>
      <c r="C127" s="663">
        <f>B124+การคลัง!D63+ส่วนโยธา!F99+ส่วนศึกษา!F99+งบกลาง!F23+437+20000</f>
        <v>10915050</v>
      </c>
      <c r="D127" s="663"/>
      <c r="E127" s="663"/>
      <c r="F127" s="85"/>
      <c r="G127" s="85"/>
      <c r="H127" s="417"/>
      <c r="I127" s="85"/>
      <c r="J127" s="85"/>
      <c r="K127" s="85"/>
      <c r="L127" s="85"/>
      <c r="M127" s="85"/>
      <c r="N127" s="85"/>
      <c r="O127" s="85"/>
      <c r="P127" s="85"/>
      <c r="Q127" s="85"/>
      <c r="R127" s="137"/>
      <c r="S127" s="137"/>
    </row>
    <row r="128" spans="1:19" ht="21" customHeight="1">
      <c r="A128" s="419"/>
      <c r="B128" s="348"/>
      <c r="C128" s="348"/>
      <c r="D128" s="348"/>
      <c r="E128" s="114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137"/>
      <c r="S128" s="137"/>
    </row>
    <row r="129" spans="1:19" ht="21" customHeight="1">
      <c r="A129" s="422"/>
      <c r="B129" s="348"/>
      <c r="C129" s="348"/>
      <c r="D129" s="348"/>
      <c r="E129" s="114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137"/>
      <c r="S129" s="137"/>
    </row>
    <row r="130" spans="1:19" ht="50.25" customHeight="1">
      <c r="A130" s="440">
        <f>A124-A127</f>
        <v>0</v>
      </c>
      <c r="B130" s="661"/>
      <c r="C130" s="661"/>
      <c r="D130" s="661"/>
      <c r="E130" s="661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137"/>
      <c r="S130" s="137"/>
    </row>
    <row r="131" spans="1:19" ht="40.5" customHeight="1">
      <c r="A131" s="416"/>
      <c r="B131" s="420"/>
      <c r="C131" s="348"/>
      <c r="D131" s="348"/>
      <c r="E131" s="114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137"/>
      <c r="S131" s="137"/>
    </row>
    <row r="132" spans="1:19" ht="38.25" customHeight="1">
      <c r="A132" s="419"/>
      <c r="B132" s="348"/>
      <c r="C132" s="348"/>
      <c r="D132" s="348"/>
      <c r="E132" s="114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137"/>
      <c r="S132" s="137"/>
    </row>
    <row r="133" spans="1:19" ht="21" customHeight="1">
      <c r="A133" s="422"/>
      <c r="B133" s="348"/>
      <c r="C133" s="348"/>
      <c r="D133" s="348"/>
      <c r="E133" s="114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137"/>
      <c r="S133" s="137"/>
    </row>
    <row r="134" spans="1:19" ht="21" customHeight="1">
      <c r="A134" s="422"/>
      <c r="B134" s="348"/>
      <c r="C134" s="348"/>
      <c r="D134" s="348"/>
      <c r="E134" s="114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137"/>
      <c r="S134" s="137"/>
    </row>
    <row r="135" spans="1:19" ht="30.75" customHeight="1">
      <c r="A135" s="423"/>
      <c r="B135" s="348"/>
      <c r="C135" s="348"/>
      <c r="D135" s="348"/>
      <c r="E135" s="114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137"/>
      <c r="S135" s="137"/>
    </row>
    <row r="136" spans="1:19" ht="21" customHeight="1">
      <c r="A136" s="88"/>
      <c r="B136" s="348"/>
      <c r="C136" s="348"/>
      <c r="D136" s="348"/>
      <c r="E136" s="114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137"/>
      <c r="S136" s="137"/>
    </row>
    <row r="137" spans="1:19" ht="21" customHeight="1">
      <c r="A137" s="422"/>
      <c r="B137" s="348"/>
      <c r="C137" s="348"/>
      <c r="D137" s="348"/>
      <c r="E137" s="114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137"/>
      <c r="S137" s="137"/>
    </row>
    <row r="138" spans="1:19" ht="21" customHeight="1">
      <c r="A138" s="422"/>
      <c r="B138" s="348"/>
      <c r="C138" s="348"/>
      <c r="D138" s="348"/>
      <c r="E138" s="114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137"/>
      <c r="S138" s="137"/>
    </row>
    <row r="139" spans="1:19" ht="21" customHeight="1">
      <c r="A139" s="426"/>
      <c r="B139" s="349"/>
      <c r="C139" s="427"/>
      <c r="D139" s="427"/>
      <c r="E139" s="428"/>
      <c r="F139" s="427"/>
      <c r="G139" s="427"/>
      <c r="H139" s="426"/>
      <c r="I139" s="426"/>
      <c r="J139" s="426"/>
      <c r="K139" s="426"/>
      <c r="L139" s="426"/>
      <c r="M139" s="426"/>
      <c r="N139" s="426"/>
      <c r="O139" s="426"/>
      <c r="P139" s="426"/>
      <c r="Q139" s="426"/>
      <c r="R139" s="426"/>
      <c r="S139" s="426"/>
    </row>
    <row r="140" spans="1:19" ht="21" customHeight="1">
      <c r="A140" s="422"/>
      <c r="B140" s="348"/>
      <c r="C140" s="348"/>
      <c r="D140" s="348"/>
      <c r="E140" s="114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137"/>
      <c r="S140" s="137"/>
    </row>
    <row r="141" spans="1:19" ht="21" customHeight="1">
      <c r="A141" s="88"/>
      <c r="B141" s="348"/>
      <c r="C141" s="348"/>
      <c r="D141" s="348"/>
      <c r="E141" s="114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137"/>
      <c r="S141" s="137"/>
    </row>
    <row r="142" spans="1:19" ht="21" customHeight="1">
      <c r="A142" s="422"/>
      <c r="B142" s="348"/>
      <c r="C142" s="348"/>
      <c r="D142" s="348"/>
      <c r="E142" s="114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137"/>
      <c r="S142" s="137"/>
    </row>
    <row r="143" spans="1:19" ht="18">
      <c r="A143" s="414"/>
      <c r="B143" s="350"/>
      <c r="C143" s="348"/>
      <c r="D143" s="348"/>
      <c r="E143" s="137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137"/>
      <c r="S143" s="137"/>
    </row>
  </sheetData>
  <sheetProtection/>
  <mergeCells count="5">
    <mergeCell ref="A1:S1"/>
    <mergeCell ref="A2:A3"/>
    <mergeCell ref="B130:E130"/>
    <mergeCell ref="B124:D124"/>
    <mergeCell ref="C127:E127"/>
  </mergeCells>
  <printOptions verticalCentered="1"/>
  <pageMargins left="0.6299212598425197" right="0.1968503937007874" top="0" bottom="0" header="0.1968503937007874" footer="0.03937007874015748"/>
  <pageSetup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2"/>
  <sheetViews>
    <sheetView zoomScaleSheetLayoutView="80" zoomScalePageLayoutView="0" workbookViewId="0" topLeftCell="I28">
      <selection activeCell="W34" sqref="W34"/>
    </sheetView>
  </sheetViews>
  <sheetFormatPr defaultColWidth="9.140625" defaultRowHeight="23.25"/>
  <cols>
    <col min="1" max="1" width="31.8515625" style="0" customWidth="1"/>
    <col min="2" max="2" width="5.7109375" style="0" customWidth="1"/>
    <col min="3" max="3" width="6.7109375" style="0" customWidth="1"/>
    <col min="4" max="4" width="10.00390625" style="0" customWidth="1"/>
    <col min="5" max="5" width="11.28125" style="0" customWidth="1"/>
    <col min="6" max="6" width="8.8515625" style="0" customWidth="1"/>
    <col min="7" max="7" width="12.140625" style="167" customWidth="1"/>
    <col min="8" max="8" width="9.28125" style="0" customWidth="1"/>
    <col min="9" max="9" width="9.57421875" style="0" customWidth="1"/>
    <col min="10" max="10" width="11.00390625" style="0" customWidth="1"/>
    <col min="11" max="11" width="9.8515625" style="0" customWidth="1"/>
    <col min="12" max="12" width="8.28125" style="0" customWidth="1"/>
    <col min="13" max="13" width="9.140625" style="0" customWidth="1"/>
    <col min="14" max="14" width="10.00390625" style="167" customWidth="1"/>
    <col min="15" max="16" width="10.00390625" style="0" customWidth="1"/>
    <col min="17" max="19" width="8.28125" style="0" customWidth="1"/>
    <col min="20" max="20" width="11.8515625" style="167" customWidth="1"/>
    <col min="21" max="21" width="12.7109375" style="167" customWidth="1"/>
    <col min="22" max="22" width="14.00390625" style="0" customWidth="1"/>
    <col min="23" max="23" width="18.28125" style="0" customWidth="1"/>
    <col min="24" max="25" width="12.140625" style="0" customWidth="1"/>
  </cols>
  <sheetData>
    <row r="1" spans="1:21" ht="23.25">
      <c r="A1" s="723" t="s">
        <v>295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</row>
    <row r="2" spans="1:21" ht="23.25">
      <c r="A2" s="764" t="s">
        <v>318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</row>
    <row r="3" spans="1:21" ht="23.25">
      <c r="A3" s="765" t="s">
        <v>4</v>
      </c>
      <c r="B3" s="70"/>
      <c r="C3" s="767" t="s">
        <v>51</v>
      </c>
      <c r="D3" s="768"/>
      <c r="E3" s="71" t="s">
        <v>9</v>
      </c>
      <c r="F3" s="71" t="s">
        <v>9</v>
      </c>
      <c r="G3" s="120" t="s">
        <v>25</v>
      </c>
      <c r="H3" s="71" t="s">
        <v>26</v>
      </c>
      <c r="I3" s="71" t="s">
        <v>27</v>
      </c>
      <c r="J3" s="72" t="s">
        <v>28</v>
      </c>
      <c r="K3" s="71" t="s">
        <v>29</v>
      </c>
      <c r="L3" s="72" t="s">
        <v>30</v>
      </c>
      <c r="M3" s="71" t="s">
        <v>31</v>
      </c>
      <c r="N3" s="121" t="s">
        <v>32</v>
      </c>
      <c r="O3" s="71" t="s">
        <v>33</v>
      </c>
      <c r="P3" s="72" t="s">
        <v>34</v>
      </c>
      <c r="Q3" s="71" t="s">
        <v>35</v>
      </c>
      <c r="R3" s="72" t="s">
        <v>36</v>
      </c>
      <c r="S3" s="71" t="s">
        <v>37</v>
      </c>
      <c r="T3" s="121" t="s">
        <v>25</v>
      </c>
      <c r="U3" s="120" t="s">
        <v>6</v>
      </c>
    </row>
    <row r="4" spans="1:23" ht="23.25">
      <c r="A4" s="766"/>
      <c r="B4" s="73" t="s">
        <v>8</v>
      </c>
      <c r="C4" s="74" t="s">
        <v>9</v>
      </c>
      <c r="D4" s="69"/>
      <c r="E4" s="75" t="s">
        <v>10</v>
      </c>
      <c r="F4" s="75" t="s">
        <v>11</v>
      </c>
      <c r="G4" s="95"/>
      <c r="H4" s="76"/>
      <c r="I4" s="76"/>
      <c r="J4" s="77"/>
      <c r="K4" s="76"/>
      <c r="L4" s="77"/>
      <c r="M4" s="76"/>
      <c r="N4" s="172"/>
      <c r="O4" s="76"/>
      <c r="P4" s="77"/>
      <c r="Q4" s="76"/>
      <c r="R4" s="77"/>
      <c r="S4" s="76"/>
      <c r="T4" s="96"/>
      <c r="U4" s="95" t="s">
        <v>5</v>
      </c>
      <c r="W4" s="249"/>
    </row>
    <row r="5" spans="1:21" ht="23.25">
      <c r="A5" s="56" t="s">
        <v>71</v>
      </c>
      <c r="B5" s="92"/>
      <c r="C5" s="101"/>
      <c r="D5" s="94"/>
      <c r="E5" s="95"/>
      <c r="F5" s="95"/>
      <c r="G5" s="95"/>
      <c r="H5" s="97"/>
      <c r="I5" s="97"/>
      <c r="J5" s="98"/>
      <c r="K5" s="97"/>
      <c r="L5" s="98"/>
      <c r="M5" s="97"/>
      <c r="N5" s="172"/>
      <c r="O5" s="97"/>
      <c r="P5" s="98"/>
      <c r="Q5" s="97"/>
      <c r="R5" s="98"/>
      <c r="S5" s="97"/>
      <c r="T5" s="96"/>
      <c r="U5" s="95"/>
    </row>
    <row r="6" spans="1:25" ht="23.25">
      <c r="A6" s="20" t="s">
        <v>217</v>
      </c>
      <c r="B6" s="11"/>
      <c r="C6" s="11"/>
      <c r="D6" s="39"/>
      <c r="E6" s="39"/>
      <c r="F6" s="38"/>
      <c r="G6" s="52">
        <f>+D6+E6-F6</f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135">
        <f>SUM(H6:S6)</f>
        <v>0</v>
      </c>
      <c r="U6" s="135">
        <f>G6-T6</f>
        <v>0</v>
      </c>
      <c r="V6" s="315"/>
      <c r="W6" s="315"/>
      <c r="X6" s="356"/>
      <c r="Y6" s="356"/>
    </row>
    <row r="7" spans="1:25" ht="23.25">
      <c r="A7" s="20" t="s">
        <v>218</v>
      </c>
      <c r="B7" s="11"/>
      <c r="C7" s="11"/>
      <c r="D7" s="26"/>
      <c r="E7" s="26"/>
      <c r="F7" s="38">
        <v>0</v>
      </c>
      <c r="G7" s="52">
        <f>+D7+E7-F7</f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135">
        <f>SUM(H7:S7)</f>
        <v>0</v>
      </c>
      <c r="U7" s="135">
        <f>G7-T7</f>
        <v>0</v>
      </c>
      <c r="V7" s="315"/>
      <c r="W7" s="315"/>
      <c r="X7" s="356"/>
      <c r="Y7" s="356"/>
    </row>
    <row r="8" spans="1:25" ht="26.25">
      <c r="A8" s="20" t="s">
        <v>297</v>
      </c>
      <c r="B8" s="11"/>
      <c r="C8" s="11"/>
      <c r="D8" s="26"/>
      <c r="E8" s="26"/>
      <c r="F8" s="10"/>
      <c r="G8" s="52">
        <f>+D8+E8-F8</f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135">
        <f>SUM(H8:S8)</f>
        <v>0</v>
      </c>
      <c r="U8" s="135">
        <f>G8-T8</f>
        <v>0</v>
      </c>
      <c r="V8" s="315"/>
      <c r="W8" s="357"/>
      <c r="X8" s="358"/>
      <c r="Y8" s="357"/>
    </row>
    <row r="9" spans="1:23" ht="23.25">
      <c r="A9" s="20" t="s">
        <v>298</v>
      </c>
      <c r="B9" s="11"/>
      <c r="C9" s="11"/>
      <c r="D9" s="26"/>
      <c r="E9" s="26"/>
      <c r="F9" s="10"/>
      <c r="G9" s="52">
        <f>+D9+E9-F9</f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135">
        <f>SUM(H9:S9)</f>
        <v>0</v>
      </c>
      <c r="U9" s="135">
        <f>G9-T9</f>
        <v>0</v>
      </c>
      <c r="V9" s="315"/>
      <c r="W9" s="315"/>
    </row>
    <row r="10" spans="1:23" ht="23.25">
      <c r="A10" s="82"/>
      <c r="B10" s="275"/>
      <c r="C10" s="276"/>
      <c r="D10" s="43"/>
      <c r="E10" s="26"/>
      <c r="F10" s="10"/>
      <c r="G10" s="52">
        <f>+D10+E10-F10</f>
        <v>0</v>
      </c>
      <c r="H10" s="39"/>
      <c r="I10" s="39"/>
      <c r="J10" s="39"/>
      <c r="K10" s="39"/>
      <c r="L10" s="39"/>
      <c r="M10" s="39"/>
      <c r="N10" s="90"/>
      <c r="O10" s="39"/>
      <c r="P10" s="39"/>
      <c r="Q10" s="39"/>
      <c r="R10" s="39"/>
      <c r="S10" s="39"/>
      <c r="T10" s="135">
        <f>SUM(H10:S10)</f>
        <v>0</v>
      </c>
      <c r="U10" s="135">
        <f>+G10-T10</f>
        <v>0</v>
      </c>
      <c r="V10" s="315"/>
      <c r="W10" s="315"/>
    </row>
    <row r="11" spans="1:23" ht="24" thickBot="1">
      <c r="A11" s="82"/>
      <c r="B11" s="46"/>
      <c r="C11" s="108"/>
      <c r="D11" s="43" t="s">
        <v>0</v>
      </c>
      <c r="E11" s="46"/>
      <c r="F11" s="10"/>
      <c r="G11" s="164">
        <f>SUM(G6:G10)</f>
        <v>0</v>
      </c>
      <c r="H11" s="164">
        <f aca="true" t="shared" si="0" ref="H11:U11">SUM(H6:H10)</f>
        <v>0</v>
      </c>
      <c r="I11" s="164">
        <f t="shared" si="0"/>
        <v>0</v>
      </c>
      <c r="J11" s="164">
        <f t="shared" si="0"/>
        <v>0</v>
      </c>
      <c r="K11" s="164">
        <f t="shared" si="0"/>
        <v>0</v>
      </c>
      <c r="L11" s="164">
        <f t="shared" si="0"/>
        <v>0</v>
      </c>
      <c r="M11" s="164">
        <f t="shared" si="0"/>
        <v>0</v>
      </c>
      <c r="N11" s="164">
        <f t="shared" si="0"/>
        <v>0</v>
      </c>
      <c r="O11" s="164">
        <f t="shared" si="0"/>
        <v>0</v>
      </c>
      <c r="P11" s="164">
        <f t="shared" si="0"/>
        <v>0</v>
      </c>
      <c r="Q11" s="164">
        <f t="shared" si="0"/>
        <v>0</v>
      </c>
      <c r="R11" s="164">
        <f t="shared" si="0"/>
        <v>0</v>
      </c>
      <c r="S11" s="164">
        <f t="shared" si="0"/>
        <v>0</v>
      </c>
      <c r="T11" s="164">
        <f t="shared" si="0"/>
        <v>0</v>
      </c>
      <c r="U11" s="164">
        <f t="shared" si="0"/>
        <v>0</v>
      </c>
      <c r="V11" s="315"/>
      <c r="W11" s="315"/>
    </row>
    <row r="12" spans="1:23" ht="24" thickTop="1">
      <c r="A12" s="152" t="s">
        <v>3</v>
      </c>
      <c r="B12" s="102"/>
      <c r="C12" s="103"/>
      <c r="D12" s="104"/>
      <c r="E12" s="44"/>
      <c r="F12" s="40"/>
      <c r="G12" s="89"/>
      <c r="H12" s="35"/>
      <c r="I12" s="35"/>
      <c r="J12" s="35"/>
      <c r="K12" s="35"/>
      <c r="L12" s="35"/>
      <c r="M12" s="35"/>
      <c r="N12" s="52"/>
      <c r="O12" s="35"/>
      <c r="P12" s="35"/>
      <c r="Q12" s="35"/>
      <c r="R12" s="35"/>
      <c r="S12" s="35"/>
      <c r="T12" s="135"/>
      <c r="U12" s="135"/>
      <c r="V12" s="315"/>
      <c r="W12" s="315"/>
    </row>
    <row r="13" spans="1:23" ht="23.25">
      <c r="A13" s="20" t="s">
        <v>320</v>
      </c>
      <c r="B13" s="4"/>
      <c r="C13" s="4"/>
      <c r="D13" s="26"/>
      <c r="E13" s="31"/>
      <c r="F13" s="38"/>
      <c r="G13" s="52">
        <f>+D13+E13-F13</f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35">
        <f>SUM(H13:S13)</f>
        <v>0</v>
      </c>
      <c r="U13" s="135">
        <f>+G13-T13</f>
        <v>0</v>
      </c>
      <c r="V13" s="315"/>
      <c r="W13" s="315"/>
    </row>
    <row r="14" spans="1:23" ht="23.25">
      <c r="A14" s="20" t="s">
        <v>321</v>
      </c>
      <c r="B14" s="4"/>
      <c r="C14" s="4"/>
      <c r="D14" s="26"/>
      <c r="E14" s="31"/>
      <c r="F14" s="38"/>
      <c r="G14" s="52">
        <f>+D14+E14-F14</f>
        <v>0</v>
      </c>
      <c r="H14" s="43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135">
        <f>SUM(H14:S14)</f>
        <v>0</v>
      </c>
      <c r="U14" s="135">
        <f>+G14-T14</f>
        <v>0</v>
      </c>
      <c r="V14" s="315"/>
      <c r="W14" s="315"/>
    </row>
    <row r="15" spans="1:23" ht="23.25">
      <c r="A15" s="20" t="s">
        <v>322</v>
      </c>
      <c r="B15" s="4"/>
      <c r="C15" s="4"/>
      <c r="D15" s="26"/>
      <c r="E15" s="31"/>
      <c r="F15" s="38"/>
      <c r="G15" s="52">
        <f>+D15+E15-F15</f>
        <v>0</v>
      </c>
      <c r="H15" s="43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135">
        <f>SUM(H15:S15)</f>
        <v>0</v>
      </c>
      <c r="U15" s="135">
        <f>+G15-T15</f>
        <v>0</v>
      </c>
      <c r="V15" s="315"/>
      <c r="W15" s="315"/>
    </row>
    <row r="16" spans="1:23" ht="23.25">
      <c r="A16" s="20" t="s">
        <v>319</v>
      </c>
      <c r="B16" s="4"/>
      <c r="C16" s="4"/>
      <c r="D16" s="26"/>
      <c r="E16" s="31">
        <v>0</v>
      </c>
      <c r="F16" s="38"/>
      <c r="G16" s="52">
        <f>+D16+E16-F16</f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135">
        <f>SUM(H16:S16)</f>
        <v>0</v>
      </c>
      <c r="U16" s="135">
        <f>+G16-T16</f>
        <v>0</v>
      </c>
      <c r="V16" s="315"/>
      <c r="W16" s="315"/>
    </row>
    <row r="17" spans="1:23" ht="23.25">
      <c r="A17" s="20" t="s">
        <v>122</v>
      </c>
      <c r="B17" s="4"/>
      <c r="C17" s="4"/>
      <c r="D17" s="26"/>
      <c r="E17" s="31"/>
      <c r="F17" s="38"/>
      <c r="G17" s="52">
        <f>+D17+E17-F17</f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135">
        <f>SUM(H17:S17)</f>
        <v>0</v>
      </c>
      <c r="U17" s="135">
        <f>+G17-T17</f>
        <v>0</v>
      </c>
      <c r="V17" s="315"/>
      <c r="W17" s="315"/>
    </row>
    <row r="18" spans="1:23" ht="24" thickBot="1">
      <c r="A18" s="20"/>
      <c r="B18" s="4"/>
      <c r="C18" s="4"/>
      <c r="D18" s="110" t="s">
        <v>0</v>
      </c>
      <c r="E18" s="10"/>
      <c r="F18" s="10"/>
      <c r="G18" s="164">
        <f>G13+G14+G15+G17</f>
        <v>0</v>
      </c>
      <c r="H18" s="164">
        <f>H13+H14+H15+H17</f>
        <v>0</v>
      </c>
      <c r="I18" s="164">
        <f aca="true" t="shared" si="1" ref="I18:S18">I13+I14+I15+I17</f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64">
        <f t="shared" si="1"/>
        <v>0</v>
      </c>
      <c r="T18" s="164">
        <f>T13+T14+T15+T17</f>
        <v>0</v>
      </c>
      <c r="U18" s="164">
        <f>U13+U14+U15+U17</f>
        <v>0</v>
      </c>
      <c r="V18" s="315"/>
      <c r="W18" s="315"/>
    </row>
    <row r="19" spans="1:23" s="5" customFormat="1" ht="24.75" thickBot="1" thickTop="1">
      <c r="A19" s="10"/>
      <c r="B19" s="18"/>
      <c r="C19" s="25"/>
      <c r="D19" s="43" t="s">
        <v>7</v>
      </c>
      <c r="E19" s="46"/>
      <c r="F19" s="10"/>
      <c r="G19" s="164">
        <f>G11+G18</f>
        <v>0</v>
      </c>
      <c r="H19" s="164">
        <f aca="true" t="shared" si="2" ref="H19:T19">H11+H18</f>
        <v>0</v>
      </c>
      <c r="I19" s="164">
        <f t="shared" si="2"/>
        <v>0</v>
      </c>
      <c r="J19" s="164">
        <f t="shared" si="2"/>
        <v>0</v>
      </c>
      <c r="K19" s="164">
        <f t="shared" si="2"/>
        <v>0</v>
      </c>
      <c r="L19" s="164">
        <f t="shared" si="2"/>
        <v>0</v>
      </c>
      <c r="M19" s="164">
        <f t="shared" si="2"/>
        <v>0</v>
      </c>
      <c r="N19" s="164">
        <f t="shared" si="2"/>
        <v>0</v>
      </c>
      <c r="O19" s="164">
        <f t="shared" si="2"/>
        <v>0</v>
      </c>
      <c r="P19" s="164">
        <f t="shared" si="2"/>
        <v>0</v>
      </c>
      <c r="Q19" s="164">
        <f t="shared" si="2"/>
        <v>0</v>
      </c>
      <c r="R19" s="164">
        <f t="shared" si="2"/>
        <v>0</v>
      </c>
      <c r="S19" s="164">
        <f t="shared" si="2"/>
        <v>0</v>
      </c>
      <c r="T19" s="164">
        <f t="shared" si="2"/>
        <v>0</v>
      </c>
      <c r="U19" s="164">
        <f>U13+U14+U15+U17+U18</f>
        <v>0</v>
      </c>
      <c r="V19" s="159"/>
      <c r="W19" s="159"/>
    </row>
    <row r="20" spans="1:23" s="5" customFormat="1" ht="24" thickTop="1">
      <c r="A20" s="10"/>
      <c r="B20" s="53"/>
      <c r="C20" s="53"/>
      <c r="D20" s="26"/>
      <c r="E20" s="10"/>
      <c r="F20" s="10"/>
      <c r="G20" s="144"/>
      <c r="H20" s="10"/>
      <c r="I20" s="10"/>
      <c r="J20" s="10"/>
      <c r="K20" s="10"/>
      <c r="L20" s="10"/>
      <c r="M20" s="10"/>
      <c r="N20" s="52"/>
      <c r="O20" s="10"/>
      <c r="P20" s="10"/>
      <c r="Q20" s="10"/>
      <c r="R20" s="10"/>
      <c r="S20" s="26"/>
      <c r="T20" s="52"/>
      <c r="U20" s="52"/>
      <c r="V20" s="159"/>
      <c r="W20" s="159"/>
    </row>
    <row r="21" spans="1:23" s="5" customFormat="1" ht="23.25">
      <c r="A21" s="10"/>
      <c r="B21" s="53"/>
      <c r="C21" s="53"/>
      <c r="D21" s="67"/>
      <c r="E21" s="10"/>
      <c r="F21" s="10"/>
      <c r="G21" s="144"/>
      <c r="H21" s="10"/>
      <c r="I21" s="10"/>
      <c r="J21" s="10"/>
      <c r="K21" s="10"/>
      <c r="L21" s="10"/>
      <c r="M21" s="10"/>
      <c r="N21" s="144"/>
      <c r="O21" s="10"/>
      <c r="P21" s="83"/>
      <c r="Q21" s="10"/>
      <c r="R21" s="10"/>
      <c r="S21" s="10"/>
      <c r="T21" s="52"/>
      <c r="U21" s="52"/>
      <c r="V21" s="159"/>
      <c r="W21" s="159"/>
    </row>
    <row r="22" spans="1:23" s="5" customFormat="1" ht="24" thickBot="1">
      <c r="A22" s="10"/>
      <c r="B22" s="53"/>
      <c r="C22" s="53"/>
      <c r="D22" s="55"/>
      <c r="E22" s="10"/>
      <c r="F22" s="10"/>
      <c r="G22" s="144"/>
      <c r="H22" s="61"/>
      <c r="I22" s="61"/>
      <c r="J22" s="61"/>
      <c r="K22" s="61"/>
      <c r="L22" s="61"/>
      <c r="M22" s="61"/>
      <c r="N22" s="170"/>
      <c r="O22" s="61"/>
      <c r="P22" s="42"/>
      <c r="Q22" s="33"/>
      <c r="R22" s="33"/>
      <c r="S22" s="33"/>
      <c r="T22" s="91"/>
      <c r="U22" s="91"/>
      <c r="V22" s="159"/>
      <c r="W22" s="159"/>
    </row>
    <row r="23" spans="1:23" s="5" customFormat="1" ht="24" thickTop="1">
      <c r="A23" s="45"/>
      <c r="B23" s="78"/>
      <c r="C23" s="78"/>
      <c r="D23" s="85"/>
      <c r="E23" s="45"/>
      <c r="F23" s="45"/>
      <c r="G23" s="68"/>
      <c r="H23" s="45"/>
      <c r="I23" s="45"/>
      <c r="J23" s="45"/>
      <c r="K23" s="45"/>
      <c r="L23" s="45"/>
      <c r="M23" s="45"/>
      <c r="N23" s="68"/>
      <c r="O23" s="45"/>
      <c r="P23" s="85"/>
      <c r="Q23" s="85"/>
      <c r="R23" s="85"/>
      <c r="S23" s="85"/>
      <c r="T23" s="147"/>
      <c r="U23" s="147"/>
      <c r="V23" s="159"/>
      <c r="W23" s="159"/>
    </row>
    <row r="24" spans="1:23" s="5" customFormat="1" ht="23.25">
      <c r="A24" s="45"/>
      <c r="B24" s="78"/>
      <c r="C24" s="78"/>
      <c r="D24" s="85"/>
      <c r="E24" s="304"/>
      <c r="F24" s="45"/>
      <c r="G24" s="300">
        <f>T13+T14+T15</f>
        <v>0</v>
      </c>
      <c r="H24" s="45"/>
      <c r="I24" s="45"/>
      <c r="J24" s="45"/>
      <c r="K24" s="45"/>
      <c r="L24" s="45"/>
      <c r="M24" s="45"/>
      <c r="N24" s="68"/>
      <c r="O24" s="45"/>
      <c r="P24" s="85"/>
      <c r="Q24" s="85"/>
      <c r="R24" s="85"/>
      <c r="S24" s="85"/>
      <c r="T24" s="147"/>
      <c r="U24" s="147"/>
      <c r="V24" s="159"/>
      <c r="W24" s="159"/>
    </row>
    <row r="25" spans="1:23" s="5" customFormat="1" ht="23.25">
      <c r="A25" s="45"/>
      <c r="B25" s="78"/>
      <c r="C25" s="78"/>
      <c r="D25" s="85"/>
      <c r="E25" s="45"/>
      <c r="F25" s="45"/>
      <c r="G25" s="68"/>
      <c r="H25" s="304"/>
      <c r="I25" s="45"/>
      <c r="J25" s="45"/>
      <c r="K25" s="45"/>
      <c r="L25" s="45"/>
      <c r="M25" s="45"/>
      <c r="N25" s="68"/>
      <c r="O25" s="45"/>
      <c r="P25" s="85"/>
      <c r="Q25" s="85"/>
      <c r="R25" s="85"/>
      <c r="S25" s="85"/>
      <c r="T25" s="147"/>
      <c r="U25" s="147"/>
      <c r="V25" s="159"/>
      <c r="W25" s="159"/>
    </row>
    <row r="26" spans="1:23" s="5" customFormat="1" ht="23.25">
      <c r="A26" s="45"/>
      <c r="B26" s="78"/>
      <c r="C26" s="78"/>
      <c r="D26" s="85"/>
      <c r="E26" s="45"/>
      <c r="F26" s="45"/>
      <c r="G26" s="300"/>
      <c r="H26" s="45"/>
      <c r="I26" s="45"/>
      <c r="J26" s="45"/>
      <c r="K26" s="45"/>
      <c r="L26" s="45"/>
      <c r="M26" s="45"/>
      <c r="N26" s="68"/>
      <c r="O26" s="45"/>
      <c r="P26" s="85"/>
      <c r="Q26" s="85"/>
      <c r="R26" s="85"/>
      <c r="S26" s="85"/>
      <c r="T26" s="147"/>
      <c r="U26" s="147"/>
      <c r="V26" s="159"/>
      <c r="W26" s="159"/>
    </row>
    <row r="27" spans="1:23" s="5" customFormat="1" ht="23.25">
      <c r="A27" s="45"/>
      <c r="B27" s="78"/>
      <c r="C27" s="78"/>
      <c r="D27" s="85"/>
      <c r="E27" s="45"/>
      <c r="F27" s="45"/>
      <c r="G27" s="68"/>
      <c r="H27" s="45"/>
      <c r="I27" s="45"/>
      <c r="J27" s="45"/>
      <c r="K27" s="45"/>
      <c r="L27" s="45"/>
      <c r="M27" s="45"/>
      <c r="N27" s="68"/>
      <c r="O27" s="45"/>
      <c r="P27" s="85"/>
      <c r="Q27" s="85"/>
      <c r="R27" s="85"/>
      <c r="S27" s="85"/>
      <c r="T27" s="147"/>
      <c r="U27" s="147"/>
      <c r="V27" s="159"/>
      <c r="W27" s="159"/>
    </row>
    <row r="28" spans="1:23" s="5" customFormat="1" ht="23.25">
      <c r="A28" s="88"/>
      <c r="B28" s="78"/>
      <c r="C28" s="78"/>
      <c r="D28" s="66"/>
      <c r="E28" s="45"/>
      <c r="F28" s="45"/>
      <c r="G28" s="300"/>
      <c r="H28" s="85"/>
      <c r="I28" s="45"/>
      <c r="J28" s="45"/>
      <c r="K28" s="45"/>
      <c r="L28" s="45"/>
      <c r="M28" s="45"/>
      <c r="N28" s="68"/>
      <c r="O28" s="45"/>
      <c r="P28" s="45"/>
      <c r="Q28" s="45"/>
      <c r="R28" s="45"/>
      <c r="S28" s="45"/>
      <c r="T28" s="169"/>
      <c r="U28" s="147"/>
      <c r="V28" s="159"/>
      <c r="W28" s="159"/>
    </row>
    <row r="29" spans="1:21" s="5" customFormat="1" ht="23.25">
      <c r="A29" s="723" t="s">
        <v>397</v>
      </c>
      <c r="B29" s="723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3"/>
      <c r="N29" s="723"/>
      <c r="O29" s="723"/>
      <c r="P29" s="723"/>
      <c r="Q29" s="723"/>
      <c r="R29" s="723"/>
      <c r="S29" s="723"/>
      <c r="T29" s="723"/>
      <c r="U29" s="723"/>
    </row>
    <row r="30" spans="1:21" s="5" customFormat="1" ht="23.25">
      <c r="A30" s="764" t="s">
        <v>492</v>
      </c>
      <c r="B30" s="764"/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</row>
    <row r="31" spans="1:21" s="5" customFormat="1" ht="23.25">
      <c r="A31" s="765" t="s">
        <v>4</v>
      </c>
      <c r="B31" s="70"/>
      <c r="C31" s="767" t="s">
        <v>51</v>
      </c>
      <c r="D31" s="768"/>
      <c r="E31" s="71" t="s">
        <v>9</v>
      </c>
      <c r="F31" s="71" t="s">
        <v>9</v>
      </c>
      <c r="G31" s="120" t="s">
        <v>25</v>
      </c>
      <c r="H31" s="71" t="s">
        <v>26</v>
      </c>
      <c r="I31" s="71" t="s">
        <v>27</v>
      </c>
      <c r="J31" s="72" t="s">
        <v>28</v>
      </c>
      <c r="K31" s="71" t="s">
        <v>29</v>
      </c>
      <c r="L31" s="72" t="s">
        <v>30</v>
      </c>
      <c r="M31" s="71" t="s">
        <v>31</v>
      </c>
      <c r="N31" s="121" t="s">
        <v>32</v>
      </c>
      <c r="O31" s="71" t="s">
        <v>33</v>
      </c>
      <c r="P31" s="72" t="s">
        <v>34</v>
      </c>
      <c r="Q31" s="71" t="s">
        <v>35</v>
      </c>
      <c r="R31" s="72" t="s">
        <v>36</v>
      </c>
      <c r="S31" s="71" t="s">
        <v>37</v>
      </c>
      <c r="T31" s="121" t="s">
        <v>25</v>
      </c>
      <c r="U31" s="120" t="s">
        <v>6</v>
      </c>
    </row>
    <row r="32" spans="1:21" s="5" customFormat="1" ht="23.25">
      <c r="A32" s="766"/>
      <c r="B32" s="73" t="s">
        <v>8</v>
      </c>
      <c r="C32" s="74" t="s">
        <v>9</v>
      </c>
      <c r="D32" s="69"/>
      <c r="E32" s="75" t="s">
        <v>10</v>
      </c>
      <c r="F32" s="75" t="s">
        <v>11</v>
      </c>
      <c r="G32" s="95"/>
      <c r="H32" s="76"/>
      <c r="I32" s="76"/>
      <c r="J32" s="77"/>
      <c r="K32" s="76"/>
      <c r="L32" s="77"/>
      <c r="M32" s="76"/>
      <c r="N32" s="172"/>
      <c r="O32" s="76"/>
      <c r="P32" s="77"/>
      <c r="Q32" s="76"/>
      <c r="R32" s="77"/>
      <c r="S32" s="76"/>
      <c r="T32" s="96"/>
      <c r="U32" s="95" t="s">
        <v>5</v>
      </c>
    </row>
    <row r="33" spans="1:23" s="5" customFormat="1" ht="23.25">
      <c r="A33" s="116" t="s">
        <v>414</v>
      </c>
      <c r="B33" s="92"/>
      <c r="C33" s="101"/>
      <c r="D33" s="321">
        <v>0</v>
      </c>
      <c r="E33" s="433">
        <f>11000+11000+11000+11000+11000+11000+11000+11000+11000+22000+11000</f>
        <v>132000</v>
      </c>
      <c r="F33" s="95"/>
      <c r="G33" s="52">
        <f>+D33+E33-F33</f>
        <v>132000</v>
      </c>
      <c r="H33" s="39">
        <v>0</v>
      </c>
      <c r="I33" s="39">
        <v>0</v>
      </c>
      <c r="J33" s="39">
        <v>0</v>
      </c>
      <c r="K33" s="39">
        <v>0</v>
      </c>
      <c r="L33" s="39">
        <v>241.11</v>
      </c>
      <c r="M33" s="39">
        <v>8000</v>
      </c>
      <c r="N33" s="39">
        <v>8000</v>
      </c>
      <c r="O33" s="39">
        <f>8000+489.04+495.65+4800</f>
        <v>13784.69</v>
      </c>
      <c r="P33" s="39">
        <f>8000+1006.04</f>
        <v>9006.04</v>
      </c>
      <c r="Q33" s="39">
        <f>806.06+27466</f>
        <v>28272.06</v>
      </c>
      <c r="R33" s="39">
        <f>389.88+300+436.16</f>
        <v>1126.04</v>
      </c>
      <c r="S33" s="39">
        <f>475.82+9670+11400+535.33</f>
        <v>22081.15</v>
      </c>
      <c r="T33" s="135">
        <f>SUM(H33:S33)</f>
        <v>90511.09</v>
      </c>
      <c r="U33" s="135">
        <f>G33-T33</f>
        <v>41488.91</v>
      </c>
      <c r="V33" s="434"/>
      <c r="W33" s="434"/>
    </row>
    <row r="34" spans="1:22" s="5" customFormat="1" ht="23.25">
      <c r="A34" s="20"/>
      <c r="B34" s="87"/>
      <c r="C34" s="109"/>
      <c r="D34" s="26"/>
      <c r="E34" s="31"/>
      <c r="F34" s="38"/>
      <c r="G34" s="52"/>
      <c r="H34" s="26"/>
      <c r="I34" s="26"/>
      <c r="J34" s="26"/>
      <c r="K34" s="26"/>
      <c r="L34" s="26"/>
      <c r="M34" s="26"/>
      <c r="N34" s="52"/>
      <c r="O34" s="26"/>
      <c r="P34" s="26"/>
      <c r="Q34" s="26"/>
      <c r="R34" s="26"/>
      <c r="S34" s="26"/>
      <c r="T34" s="135"/>
      <c r="U34" s="135"/>
      <c r="V34" s="434"/>
    </row>
    <row r="35" spans="1:22" s="5" customFormat="1" ht="23.25">
      <c r="A35" s="160"/>
      <c r="B35" s="1"/>
      <c r="C35" s="106"/>
      <c r="D35" s="110"/>
      <c r="E35" s="107"/>
      <c r="F35" s="107"/>
      <c r="G35" s="52"/>
      <c r="H35" s="2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135"/>
      <c r="U35" s="135"/>
      <c r="V35" s="434"/>
    </row>
    <row r="36" spans="1:23" s="5" customFormat="1" ht="23.25">
      <c r="A36" s="20"/>
      <c r="B36" s="87"/>
      <c r="C36" s="109"/>
      <c r="D36" s="26"/>
      <c r="E36" s="31"/>
      <c r="F36" s="38"/>
      <c r="G36" s="52"/>
      <c r="H36" s="26"/>
      <c r="I36" s="26"/>
      <c r="J36" s="26"/>
      <c r="K36" s="26"/>
      <c r="L36" s="26"/>
      <c r="M36" s="26"/>
      <c r="N36" s="52"/>
      <c r="O36" s="26"/>
      <c r="P36" s="26"/>
      <c r="Q36" s="26"/>
      <c r="R36" s="26"/>
      <c r="S36" s="26"/>
      <c r="T36" s="135"/>
      <c r="U36" s="135"/>
      <c r="V36" s="434"/>
      <c r="W36" s="434"/>
    </row>
    <row r="37" spans="1:23" s="5" customFormat="1" ht="23.25">
      <c r="A37" s="160"/>
      <c r="B37" s="1"/>
      <c r="C37" s="106"/>
      <c r="D37" s="110"/>
      <c r="E37" s="107"/>
      <c r="F37" s="107"/>
      <c r="G37" s="52"/>
      <c r="H37" s="2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35"/>
      <c r="U37" s="135"/>
      <c r="W37" s="434"/>
    </row>
    <row r="38" spans="1:22" s="5" customFormat="1" ht="23.25">
      <c r="A38" s="20"/>
      <c r="B38" s="87"/>
      <c r="C38" s="109"/>
      <c r="D38" s="26"/>
      <c r="E38" s="31"/>
      <c r="F38" s="38"/>
      <c r="G38" s="52"/>
      <c r="H38" s="26"/>
      <c r="I38" s="26"/>
      <c r="J38" s="26"/>
      <c r="K38" s="26"/>
      <c r="L38" s="26"/>
      <c r="M38" s="26"/>
      <c r="N38" s="52"/>
      <c r="O38" s="26"/>
      <c r="P38" s="26"/>
      <c r="Q38" s="26"/>
      <c r="R38" s="26"/>
      <c r="S38" s="26"/>
      <c r="T38" s="135"/>
      <c r="U38" s="135"/>
      <c r="V38" s="434"/>
    </row>
    <row r="39" spans="1:21" s="5" customFormat="1" ht="23.25">
      <c r="A39" s="160"/>
      <c r="B39" s="1"/>
      <c r="C39" s="106"/>
      <c r="D39" s="110"/>
      <c r="E39" s="107"/>
      <c r="F39" s="107"/>
      <c r="G39" s="52"/>
      <c r="H39" s="2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35"/>
      <c r="U39" s="135"/>
    </row>
    <row r="40" spans="1:21" s="5" customFormat="1" ht="23.25">
      <c r="A40" s="20"/>
      <c r="B40" s="87"/>
      <c r="C40" s="109"/>
      <c r="D40" s="26"/>
      <c r="E40" s="31"/>
      <c r="F40" s="38"/>
      <c r="G40" s="52"/>
      <c r="H40" s="26"/>
      <c r="I40" s="26"/>
      <c r="J40" s="26"/>
      <c r="K40" s="26"/>
      <c r="L40" s="26"/>
      <c r="M40" s="26"/>
      <c r="N40" s="52"/>
      <c r="O40" s="26"/>
      <c r="P40" s="26"/>
      <c r="Q40" s="26"/>
      <c r="R40" s="26"/>
      <c r="S40" s="26"/>
      <c r="T40" s="135"/>
      <c r="U40" s="135"/>
    </row>
    <row r="41" spans="1:21" s="5" customFormat="1" ht="23.25">
      <c r="A41" s="160"/>
      <c r="B41" s="1"/>
      <c r="C41" s="106"/>
      <c r="D41" s="110"/>
      <c r="E41" s="107"/>
      <c r="F41" s="107"/>
      <c r="G41" s="52"/>
      <c r="H41" s="2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135"/>
      <c r="U41" s="135"/>
    </row>
    <row r="42" spans="1:21" s="5" customFormat="1" ht="23.25">
      <c r="A42" s="20"/>
      <c r="B42" s="87"/>
      <c r="C42" s="109"/>
      <c r="D42" s="26"/>
      <c r="E42" s="31"/>
      <c r="F42" s="38"/>
      <c r="G42" s="52"/>
      <c r="H42" s="26"/>
      <c r="I42" s="26"/>
      <c r="J42" s="26"/>
      <c r="K42" s="26"/>
      <c r="L42" s="26"/>
      <c r="M42" s="26"/>
      <c r="N42" s="52"/>
      <c r="O42" s="26"/>
      <c r="P42" s="26"/>
      <c r="Q42" s="26"/>
      <c r="R42" s="26"/>
      <c r="S42" s="26"/>
      <c r="T42" s="135"/>
      <c r="U42" s="135"/>
    </row>
    <row r="43" spans="1:21" s="5" customFormat="1" ht="23.25">
      <c r="A43" s="160"/>
      <c r="B43" s="1"/>
      <c r="C43" s="106"/>
      <c r="D43" s="110"/>
      <c r="E43" s="107"/>
      <c r="F43" s="107"/>
      <c r="G43" s="52"/>
      <c r="H43" s="2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135"/>
      <c r="U43" s="135"/>
    </row>
    <row r="44" spans="1:21" ht="23.25">
      <c r="A44" s="20"/>
      <c r="B44" s="87"/>
      <c r="C44" s="109"/>
      <c r="D44" s="26"/>
      <c r="E44" s="31"/>
      <c r="F44" s="38"/>
      <c r="G44" s="52"/>
      <c r="H44" s="26"/>
      <c r="I44" s="26"/>
      <c r="J44" s="26"/>
      <c r="K44" s="26"/>
      <c r="L44" s="26"/>
      <c r="M44" s="26"/>
      <c r="N44" s="52"/>
      <c r="O44" s="26"/>
      <c r="P44" s="26"/>
      <c r="Q44" s="26"/>
      <c r="R44" s="26"/>
      <c r="S44" s="26"/>
      <c r="T44" s="135"/>
      <c r="U44" s="135"/>
    </row>
    <row r="45" spans="1:21" ht="23.25">
      <c r="A45" s="20"/>
      <c r="B45" s="87"/>
      <c r="C45" s="109"/>
      <c r="D45" s="26"/>
      <c r="E45" s="31"/>
      <c r="F45" s="38"/>
      <c r="G45" s="52"/>
      <c r="H45" s="26"/>
      <c r="I45" s="26"/>
      <c r="J45" s="26"/>
      <c r="K45" s="26"/>
      <c r="L45" s="26"/>
      <c r="M45" s="26"/>
      <c r="N45" s="52"/>
      <c r="O45" s="26"/>
      <c r="P45" s="26"/>
      <c r="Q45" s="26"/>
      <c r="R45" s="26"/>
      <c r="S45" s="26"/>
      <c r="T45" s="135"/>
      <c r="U45" s="135"/>
    </row>
    <row r="46" spans="1:21" ht="23.25">
      <c r="A46" s="20"/>
      <c r="B46" s="87"/>
      <c r="C46" s="109"/>
      <c r="D46" s="26"/>
      <c r="E46" s="31"/>
      <c r="F46" s="38"/>
      <c r="G46" s="52"/>
      <c r="H46" s="26"/>
      <c r="I46" s="26"/>
      <c r="J46" s="26"/>
      <c r="K46" s="26"/>
      <c r="L46" s="26"/>
      <c r="M46" s="26"/>
      <c r="N46" s="52"/>
      <c r="O46" s="26"/>
      <c r="P46" s="26"/>
      <c r="Q46" s="26"/>
      <c r="R46" s="26"/>
      <c r="S46" s="26"/>
      <c r="T46" s="135"/>
      <c r="U46" s="135"/>
    </row>
    <row r="47" spans="1:21" ht="23.25">
      <c r="A47" s="263"/>
      <c r="B47" s="264"/>
      <c r="C47" s="265"/>
      <c r="D47" s="266"/>
      <c r="E47" s="267"/>
      <c r="F47" s="267"/>
      <c r="G47" s="268"/>
      <c r="H47" s="266"/>
      <c r="I47" s="266"/>
      <c r="J47" s="266"/>
      <c r="K47" s="266"/>
      <c r="L47" s="266"/>
      <c r="M47" s="266"/>
      <c r="N47" s="268"/>
      <c r="O47" s="266"/>
      <c r="P47" s="266"/>
      <c r="Q47" s="266"/>
      <c r="R47" s="266"/>
      <c r="S47" s="266"/>
      <c r="T47" s="269"/>
      <c r="U47" s="269"/>
    </row>
    <row r="48" spans="1:21" ht="23.25">
      <c r="A48" s="263"/>
      <c r="B48" s="264"/>
      <c r="C48" s="265"/>
      <c r="D48" s="266"/>
      <c r="E48" s="267"/>
      <c r="F48" s="267"/>
      <c r="G48" s="268"/>
      <c r="H48" s="266"/>
      <c r="I48" s="266"/>
      <c r="J48" s="266"/>
      <c r="K48" s="266"/>
      <c r="L48" s="266"/>
      <c r="M48" s="266"/>
      <c r="N48" s="268"/>
      <c r="O48" s="266"/>
      <c r="P48" s="266"/>
      <c r="Q48" s="266"/>
      <c r="R48" s="266"/>
      <c r="S48" s="266"/>
      <c r="T48" s="269"/>
      <c r="U48" s="269"/>
    </row>
    <row r="49" spans="1:21" ht="23.25">
      <c r="A49" s="263"/>
      <c r="B49" s="264"/>
      <c r="C49" s="265"/>
      <c r="D49" s="266"/>
      <c r="E49" s="267"/>
      <c r="F49" s="267"/>
      <c r="G49" s="268"/>
      <c r="H49" s="266"/>
      <c r="I49" s="266"/>
      <c r="J49" s="266"/>
      <c r="K49" s="266"/>
      <c r="L49" s="266"/>
      <c r="M49" s="266"/>
      <c r="N49" s="268"/>
      <c r="O49" s="266"/>
      <c r="P49" s="266"/>
      <c r="Q49" s="266"/>
      <c r="R49" s="266"/>
      <c r="S49" s="266"/>
      <c r="T49" s="269"/>
      <c r="U49" s="269"/>
    </row>
    <row r="50" spans="1:21" ht="23.25">
      <c r="A50" s="270"/>
      <c r="B50" s="271"/>
      <c r="C50" s="272"/>
      <c r="D50" s="273"/>
      <c r="E50" s="274"/>
      <c r="F50" s="274"/>
      <c r="G50" s="268"/>
      <c r="H50" s="274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9"/>
      <c r="U50" s="269"/>
    </row>
    <row r="51" spans="1:21" ht="23.25">
      <c r="A51" s="20"/>
      <c r="B51" s="18"/>
      <c r="C51" s="25"/>
      <c r="D51" s="26"/>
      <c r="E51" s="31"/>
      <c r="F51" s="31"/>
      <c r="G51" s="52"/>
      <c r="H51" s="26"/>
      <c r="I51" s="26"/>
      <c r="J51" s="26"/>
      <c r="K51" s="26"/>
      <c r="L51" s="26"/>
      <c r="M51" s="26"/>
      <c r="N51" s="52"/>
      <c r="O51" s="26"/>
      <c r="P51" s="26"/>
      <c r="Q51" s="26"/>
      <c r="R51" s="26"/>
      <c r="S51" s="26"/>
      <c r="T51" s="135"/>
      <c r="U51" s="135"/>
    </row>
    <row r="52" spans="1:21" ht="23.25">
      <c r="A52" s="10"/>
      <c r="B52" s="18"/>
      <c r="C52" s="25"/>
      <c r="D52" s="26"/>
      <c r="E52" s="31"/>
      <c r="F52" s="31"/>
      <c r="G52" s="52"/>
      <c r="H52" s="26"/>
      <c r="I52" s="26"/>
      <c r="J52" s="26"/>
      <c r="K52" s="26"/>
      <c r="L52" s="26"/>
      <c r="M52" s="26"/>
      <c r="N52" s="52"/>
      <c r="O52" s="26"/>
      <c r="P52" s="26"/>
      <c r="Q52" s="26"/>
      <c r="R52" s="26"/>
      <c r="S52" s="26"/>
      <c r="T52" s="135"/>
      <c r="U52" s="135"/>
    </row>
    <row r="53" spans="1:21" ht="23.25">
      <c r="A53" s="10"/>
      <c r="B53" s="53"/>
      <c r="C53" s="53"/>
      <c r="D53" s="55"/>
      <c r="E53" s="10"/>
      <c r="F53" s="10"/>
      <c r="G53" s="52"/>
      <c r="H53" s="10"/>
      <c r="I53" s="10"/>
      <c r="J53" s="10"/>
      <c r="K53" s="10"/>
      <c r="L53" s="10"/>
      <c r="M53" s="10"/>
      <c r="N53" s="52"/>
      <c r="O53" s="10"/>
      <c r="P53" s="10"/>
      <c r="Q53" s="10"/>
      <c r="R53" s="10"/>
      <c r="S53" s="26"/>
      <c r="T53" s="135"/>
      <c r="U53" s="135"/>
    </row>
    <row r="54" spans="1:21" ht="23.25">
      <c r="A54" s="10"/>
      <c r="B54" s="53"/>
      <c r="C54" s="53"/>
      <c r="D54" s="67"/>
      <c r="E54" s="10"/>
      <c r="F54" s="10"/>
      <c r="G54" s="52"/>
      <c r="H54" s="10"/>
      <c r="I54" s="10"/>
      <c r="J54" s="10"/>
      <c r="K54" s="10"/>
      <c r="L54" s="10"/>
      <c r="M54" s="10"/>
      <c r="N54" s="144"/>
      <c r="O54" s="10"/>
      <c r="P54" s="83"/>
      <c r="Q54" s="10"/>
      <c r="R54" s="10"/>
      <c r="S54" s="10"/>
      <c r="T54" s="135"/>
      <c r="U54" s="135"/>
    </row>
    <row r="55" spans="1:21" ht="24" thickBot="1">
      <c r="A55" s="10"/>
      <c r="B55" s="53"/>
      <c r="C55" s="53"/>
      <c r="D55" s="55" t="s">
        <v>0</v>
      </c>
      <c r="E55" s="10"/>
      <c r="F55" s="10"/>
      <c r="G55" s="91">
        <f>SUM(G33:G54)</f>
        <v>132000</v>
      </c>
      <c r="H55" s="91">
        <f aca="true" t="shared" si="3" ref="H55:U55">SUM(H33:H54)</f>
        <v>0</v>
      </c>
      <c r="I55" s="91">
        <f t="shared" si="3"/>
        <v>0</v>
      </c>
      <c r="J55" s="91">
        <f t="shared" si="3"/>
        <v>0</v>
      </c>
      <c r="K55" s="91">
        <f t="shared" si="3"/>
        <v>0</v>
      </c>
      <c r="L55" s="91">
        <f t="shared" si="3"/>
        <v>241.11</v>
      </c>
      <c r="M55" s="91">
        <f t="shared" si="3"/>
        <v>8000</v>
      </c>
      <c r="N55" s="91">
        <f t="shared" si="3"/>
        <v>8000</v>
      </c>
      <c r="O55" s="91">
        <f t="shared" si="3"/>
        <v>13784.69</v>
      </c>
      <c r="P55" s="91">
        <f t="shared" si="3"/>
        <v>9006.04</v>
      </c>
      <c r="Q55" s="91">
        <f t="shared" si="3"/>
        <v>28272.06</v>
      </c>
      <c r="R55" s="91">
        <f t="shared" si="3"/>
        <v>1126.04</v>
      </c>
      <c r="S55" s="91">
        <f t="shared" si="3"/>
        <v>22081.15</v>
      </c>
      <c r="T55" s="91">
        <f t="shared" si="3"/>
        <v>90511.09</v>
      </c>
      <c r="U55" s="91">
        <f t="shared" si="3"/>
        <v>41488.91</v>
      </c>
    </row>
    <row r="56" spans="1:21" ht="24" thickTop="1">
      <c r="A56" s="88"/>
      <c r="B56" s="78"/>
      <c r="C56" s="78"/>
      <c r="D56" s="66"/>
      <c r="E56" s="45"/>
      <c r="F56" s="45"/>
      <c r="G56" s="68"/>
      <c r="H56" s="45"/>
      <c r="I56" s="45"/>
      <c r="J56" s="45"/>
      <c r="K56" s="45"/>
      <c r="L56" s="45"/>
      <c r="M56" s="45"/>
      <c r="N56" s="68"/>
      <c r="O56" s="45"/>
      <c r="P56" s="45"/>
      <c r="Q56" s="45"/>
      <c r="R56" s="45"/>
      <c r="S56" s="45"/>
      <c r="T56" s="169"/>
      <c r="U56" s="147"/>
    </row>
    <row r="57" spans="1:21" ht="23.25">
      <c r="A57" s="723" t="s">
        <v>86</v>
      </c>
      <c r="B57" s="723"/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</row>
    <row r="58" spans="1:21" ht="23.25">
      <c r="A58" s="764" t="s">
        <v>85</v>
      </c>
      <c r="B58" s="764"/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</row>
    <row r="59" spans="1:21" ht="23.25">
      <c r="A59" s="765" t="s">
        <v>4</v>
      </c>
      <c r="B59" s="70"/>
      <c r="C59" s="767" t="s">
        <v>51</v>
      </c>
      <c r="D59" s="768"/>
      <c r="E59" s="71" t="s">
        <v>9</v>
      </c>
      <c r="F59" s="71" t="s">
        <v>9</v>
      </c>
      <c r="G59" s="120" t="s">
        <v>25</v>
      </c>
      <c r="H59" s="71" t="s">
        <v>26</v>
      </c>
      <c r="I59" s="71" t="s">
        <v>27</v>
      </c>
      <c r="J59" s="72" t="s">
        <v>28</v>
      </c>
      <c r="K59" s="71" t="s">
        <v>29</v>
      </c>
      <c r="L59" s="72" t="s">
        <v>30</v>
      </c>
      <c r="M59" s="71" t="s">
        <v>31</v>
      </c>
      <c r="N59" s="121" t="s">
        <v>32</v>
      </c>
      <c r="O59" s="71" t="s">
        <v>33</v>
      </c>
      <c r="P59" s="72" t="s">
        <v>34</v>
      </c>
      <c r="Q59" s="71" t="s">
        <v>35</v>
      </c>
      <c r="R59" s="72" t="s">
        <v>36</v>
      </c>
      <c r="S59" s="71" t="s">
        <v>37</v>
      </c>
      <c r="T59" s="121" t="s">
        <v>25</v>
      </c>
      <c r="U59" s="120" t="s">
        <v>6</v>
      </c>
    </row>
    <row r="60" spans="1:21" ht="23.25">
      <c r="A60" s="766"/>
      <c r="B60" s="73" t="s">
        <v>8</v>
      </c>
      <c r="C60" s="74" t="s">
        <v>9</v>
      </c>
      <c r="D60" s="69" t="s">
        <v>2</v>
      </c>
      <c r="E60" s="75" t="s">
        <v>10</v>
      </c>
      <c r="F60" s="75" t="s">
        <v>11</v>
      </c>
      <c r="G60" s="95"/>
      <c r="H60" s="76"/>
      <c r="I60" s="76"/>
      <c r="J60" s="77"/>
      <c r="K60" s="76"/>
      <c r="L60" s="77"/>
      <c r="M60" s="76"/>
      <c r="N60" s="172"/>
      <c r="O60" s="76"/>
      <c r="P60" s="77"/>
      <c r="Q60" s="76"/>
      <c r="R60" s="77"/>
      <c r="S60" s="76"/>
      <c r="T60" s="96"/>
      <c r="U60" s="95" t="s">
        <v>5</v>
      </c>
    </row>
    <row r="61" spans="1:21" ht="23.25">
      <c r="A61" s="17" t="s">
        <v>38</v>
      </c>
      <c r="B61" s="18"/>
      <c r="C61" s="724"/>
      <c r="D61" s="725"/>
      <c r="E61" s="51"/>
      <c r="F61" s="26"/>
      <c r="G61" s="52"/>
      <c r="H61" s="35"/>
      <c r="I61" s="35"/>
      <c r="J61" s="26"/>
      <c r="K61" s="35"/>
      <c r="L61" s="35"/>
      <c r="M61" s="35"/>
      <c r="N61" s="52"/>
      <c r="O61" s="35"/>
      <c r="P61" s="35"/>
      <c r="Q61" s="35"/>
      <c r="R61" s="35"/>
      <c r="S61" s="35"/>
      <c r="T61" s="52"/>
      <c r="U61" s="135"/>
    </row>
    <row r="62" spans="1:21" ht="23.25">
      <c r="A62" s="17" t="s">
        <v>39</v>
      </c>
      <c r="B62" s="18"/>
      <c r="C62" s="769"/>
      <c r="D62" s="770"/>
      <c r="E62" s="51"/>
      <c r="F62" s="26"/>
      <c r="G62" s="52"/>
      <c r="H62" s="35"/>
      <c r="I62" s="35"/>
      <c r="J62" s="35"/>
      <c r="K62" s="35"/>
      <c r="L62" s="35"/>
      <c r="M62" s="35"/>
      <c r="N62" s="52"/>
      <c r="O62" s="35"/>
      <c r="P62" s="35"/>
      <c r="Q62" s="35"/>
      <c r="R62" s="35"/>
      <c r="S62" s="35"/>
      <c r="T62" s="52"/>
      <c r="U62" s="135"/>
    </row>
    <row r="63" spans="1:21" ht="23.25">
      <c r="A63" s="17" t="s">
        <v>40</v>
      </c>
      <c r="B63" s="18">
        <v>500</v>
      </c>
      <c r="C63" s="724">
        <v>1416500</v>
      </c>
      <c r="D63" s="725"/>
      <c r="E63" s="24"/>
      <c r="F63" s="26"/>
      <c r="G63" s="52"/>
      <c r="H63" s="26"/>
      <c r="I63" s="26"/>
      <c r="J63" s="26"/>
      <c r="K63" s="26"/>
      <c r="L63" s="26"/>
      <c r="M63" s="26"/>
      <c r="N63" s="52"/>
      <c r="O63" s="26"/>
      <c r="P63" s="26"/>
      <c r="Q63" s="26"/>
      <c r="R63" s="26"/>
      <c r="S63" s="26"/>
      <c r="T63" s="150"/>
      <c r="U63" s="150"/>
    </row>
    <row r="64" spans="1:21" ht="23.25">
      <c r="A64" s="17" t="s">
        <v>41</v>
      </c>
      <c r="B64" s="18">
        <v>516</v>
      </c>
      <c r="C64" s="18"/>
      <c r="D64" s="19"/>
      <c r="E64" s="24"/>
      <c r="F64" s="26"/>
      <c r="G64" s="52"/>
      <c r="H64" s="26"/>
      <c r="I64" s="26"/>
      <c r="J64" s="26"/>
      <c r="K64" s="26"/>
      <c r="L64" s="26"/>
      <c r="M64" s="26"/>
      <c r="N64" s="52"/>
      <c r="O64" s="26"/>
      <c r="P64" s="26"/>
      <c r="Q64" s="26"/>
      <c r="R64" s="26"/>
      <c r="S64" s="26"/>
      <c r="T64" s="135"/>
      <c r="U64" s="135"/>
    </row>
    <row r="65" spans="1:21" ht="23.25">
      <c r="A65" s="10" t="s">
        <v>87</v>
      </c>
      <c r="B65" s="53"/>
      <c r="C65" s="53"/>
      <c r="D65" s="24">
        <v>118900</v>
      </c>
      <c r="E65" s="10"/>
      <c r="F65" s="10"/>
      <c r="G65" s="52">
        <f>+D65+E65-F65</f>
        <v>118900</v>
      </c>
      <c r="H65" s="10"/>
      <c r="I65" s="10"/>
      <c r="J65" s="10"/>
      <c r="K65" s="10"/>
      <c r="L65" s="10"/>
      <c r="M65" s="10"/>
      <c r="N65" s="144"/>
      <c r="O65" s="10"/>
      <c r="P65" s="24">
        <v>117000</v>
      </c>
      <c r="Q65" s="10"/>
      <c r="R65" s="10"/>
      <c r="S65" s="10"/>
      <c r="T65" s="135">
        <f>SUM(H65:S65)</f>
        <v>117000</v>
      </c>
      <c r="U65" s="135">
        <f>+G65-T65</f>
        <v>1900</v>
      </c>
    </row>
    <row r="66" spans="1:21" ht="23.25">
      <c r="A66" s="10" t="s">
        <v>66</v>
      </c>
      <c r="B66" s="53"/>
      <c r="C66" s="60"/>
      <c r="D66" s="59"/>
      <c r="E66" s="10"/>
      <c r="F66" s="54"/>
      <c r="G66" s="144"/>
      <c r="H66" s="10"/>
      <c r="I66" s="10"/>
      <c r="J66" s="10"/>
      <c r="K66" s="10"/>
      <c r="L66" s="10"/>
      <c r="M66" s="10"/>
      <c r="N66" s="144"/>
      <c r="O66" s="10"/>
      <c r="P66" s="15"/>
      <c r="Q66" s="26"/>
      <c r="R66" s="26"/>
      <c r="S66" s="26"/>
      <c r="T66" s="50"/>
      <c r="U66" s="135"/>
    </row>
    <row r="67" spans="1:21" ht="23.25">
      <c r="A67" s="10" t="s">
        <v>88</v>
      </c>
      <c r="B67" s="53"/>
      <c r="C67" s="53"/>
      <c r="D67" s="24">
        <v>138600</v>
      </c>
      <c r="E67" s="10"/>
      <c r="F67" s="54"/>
      <c r="G67" s="52">
        <f>+D67+E67-F67</f>
        <v>138600</v>
      </c>
      <c r="H67" s="10"/>
      <c r="I67" s="10"/>
      <c r="J67" s="10"/>
      <c r="K67" s="10"/>
      <c r="L67" s="10"/>
      <c r="M67" s="10"/>
      <c r="N67" s="144"/>
      <c r="O67" s="10"/>
      <c r="P67" s="24">
        <v>137000</v>
      </c>
      <c r="Q67" s="26"/>
      <c r="R67" s="26"/>
      <c r="S67" s="26"/>
      <c r="T67" s="135">
        <f>SUM(H67:S67)</f>
        <v>137000</v>
      </c>
      <c r="U67" s="135">
        <f>+G67-T67</f>
        <v>1600</v>
      </c>
    </row>
    <row r="68" spans="1:21" ht="23.25">
      <c r="A68" s="10" t="s">
        <v>75</v>
      </c>
      <c r="B68" s="18"/>
      <c r="C68" s="65"/>
      <c r="D68" s="64"/>
      <c r="E68" s="10"/>
      <c r="F68" s="54"/>
      <c r="G68" s="144"/>
      <c r="H68" s="10"/>
      <c r="I68" s="10"/>
      <c r="J68" s="10"/>
      <c r="K68" s="10"/>
      <c r="L68" s="10"/>
      <c r="M68" s="10"/>
      <c r="N68" s="144"/>
      <c r="O68" s="10"/>
      <c r="P68" s="15"/>
      <c r="Q68" s="26"/>
      <c r="R68" s="26"/>
      <c r="S68" s="26"/>
      <c r="T68" s="50"/>
      <c r="U68" s="135"/>
    </row>
    <row r="69" spans="1:21" ht="23.25">
      <c r="A69" s="10" t="s">
        <v>89</v>
      </c>
      <c r="B69" s="53"/>
      <c r="C69" s="32"/>
      <c r="D69" s="24">
        <v>192000</v>
      </c>
      <c r="E69" s="26"/>
      <c r="F69" s="54"/>
      <c r="G69" s="52">
        <f>+D69+E69-F69</f>
        <v>192000</v>
      </c>
      <c r="H69" s="10"/>
      <c r="I69" s="10"/>
      <c r="J69" s="10"/>
      <c r="K69" s="10"/>
      <c r="L69" s="10"/>
      <c r="M69" s="10"/>
      <c r="N69" s="144"/>
      <c r="O69" s="10"/>
      <c r="P69" s="24">
        <v>190000</v>
      </c>
      <c r="Q69" s="26"/>
      <c r="R69" s="54"/>
      <c r="S69" s="26"/>
      <c r="T69" s="135">
        <f>SUM(H69:S69)</f>
        <v>190000</v>
      </c>
      <c r="U69" s="135">
        <f>+G69-T69</f>
        <v>2000</v>
      </c>
    </row>
    <row r="70" spans="1:21" ht="23.25">
      <c r="A70" s="10" t="s">
        <v>76</v>
      </c>
      <c r="B70" s="53"/>
      <c r="C70" s="32"/>
      <c r="D70" s="26"/>
      <c r="E70" s="26"/>
      <c r="F70" s="54"/>
      <c r="G70" s="144"/>
      <c r="H70" s="10"/>
      <c r="I70" s="10"/>
      <c r="J70" s="10"/>
      <c r="K70" s="10"/>
      <c r="L70" s="10"/>
      <c r="M70" s="10"/>
      <c r="N70" s="144"/>
      <c r="O70" s="10"/>
      <c r="P70" s="15"/>
      <c r="Q70" s="26"/>
      <c r="R70" s="54"/>
      <c r="S70" s="26"/>
      <c r="T70" s="50"/>
      <c r="U70" s="135"/>
    </row>
    <row r="71" spans="1:21" ht="23.25">
      <c r="A71" s="10" t="s">
        <v>90</v>
      </c>
      <c r="B71" s="53"/>
      <c r="C71" s="32"/>
      <c r="D71" s="24">
        <v>217000</v>
      </c>
      <c r="E71" s="26"/>
      <c r="F71" s="54"/>
      <c r="G71" s="52">
        <f>+D71+E71-F71</f>
        <v>217000</v>
      </c>
      <c r="H71" s="10"/>
      <c r="I71" s="10"/>
      <c r="J71" s="10"/>
      <c r="K71" s="10"/>
      <c r="L71" s="10"/>
      <c r="M71" s="10"/>
      <c r="N71" s="144"/>
      <c r="O71" s="10"/>
      <c r="P71" s="24">
        <v>215000</v>
      </c>
      <c r="Q71" s="54"/>
      <c r="R71" s="54"/>
      <c r="S71" s="26"/>
      <c r="T71" s="135">
        <f>SUM(H71:S71)</f>
        <v>215000</v>
      </c>
      <c r="U71" s="135">
        <f>+G71-T71</f>
        <v>2000</v>
      </c>
    </row>
    <row r="72" spans="1:21" ht="23.25">
      <c r="A72" s="10" t="s">
        <v>77</v>
      </c>
      <c r="B72" s="53"/>
      <c r="C72" s="32"/>
      <c r="D72" s="26"/>
      <c r="E72" s="26"/>
      <c r="F72" s="54"/>
      <c r="G72" s="144"/>
      <c r="H72" s="10"/>
      <c r="I72" s="10"/>
      <c r="J72" s="10"/>
      <c r="K72" s="10"/>
      <c r="L72" s="10"/>
      <c r="M72" s="10"/>
      <c r="N72" s="144"/>
      <c r="O72" s="10"/>
      <c r="P72" s="15"/>
      <c r="Q72" s="54"/>
      <c r="R72" s="54"/>
      <c r="S72" s="26"/>
      <c r="T72" s="135"/>
      <c r="U72" s="135"/>
    </row>
    <row r="73" spans="1:21" ht="23.25">
      <c r="A73" s="10" t="s">
        <v>91</v>
      </c>
      <c r="B73" s="53"/>
      <c r="C73" s="32"/>
      <c r="D73" s="26">
        <v>253000</v>
      </c>
      <c r="E73" s="26"/>
      <c r="F73" s="54"/>
      <c r="G73" s="52">
        <f>+D73+E73-F73</f>
        <v>253000</v>
      </c>
      <c r="H73" s="10"/>
      <c r="I73" s="10"/>
      <c r="J73" s="10"/>
      <c r="K73" s="10"/>
      <c r="L73" s="10"/>
      <c r="M73" s="10"/>
      <c r="N73" s="144"/>
      <c r="O73" s="10"/>
      <c r="P73" s="24">
        <v>251000</v>
      </c>
      <c r="Q73" s="54"/>
      <c r="R73" s="54"/>
      <c r="S73" s="26"/>
      <c r="T73" s="135">
        <f>SUM(H73:S73)</f>
        <v>251000</v>
      </c>
      <c r="U73" s="135">
        <f>+G73-T73</f>
        <v>2000</v>
      </c>
    </row>
    <row r="74" spans="1:21" ht="23.25">
      <c r="A74" s="10" t="s">
        <v>78</v>
      </c>
      <c r="B74" s="53"/>
      <c r="C74" s="32"/>
      <c r="D74" s="26"/>
      <c r="E74" s="26"/>
      <c r="F74" s="54"/>
      <c r="G74" s="144"/>
      <c r="H74" s="10"/>
      <c r="I74" s="10"/>
      <c r="J74" s="10"/>
      <c r="K74" s="10"/>
      <c r="L74" s="10"/>
      <c r="M74" s="10"/>
      <c r="N74" s="144"/>
      <c r="O74" s="10"/>
      <c r="P74" s="15"/>
      <c r="Q74" s="54"/>
      <c r="R74" s="54"/>
      <c r="S74" s="26"/>
      <c r="T74" s="135"/>
      <c r="U74" s="135"/>
    </row>
    <row r="75" spans="1:21" ht="23.25">
      <c r="A75" s="10" t="s">
        <v>92</v>
      </c>
      <c r="B75" s="53"/>
      <c r="C75" s="32"/>
      <c r="D75" s="26">
        <v>497000</v>
      </c>
      <c r="E75" s="26"/>
      <c r="F75" s="54"/>
      <c r="G75" s="52">
        <f>+D75+E75-F75</f>
        <v>497000</v>
      </c>
      <c r="H75" s="10"/>
      <c r="I75" s="10"/>
      <c r="J75" s="10"/>
      <c r="K75" s="10"/>
      <c r="L75" s="10"/>
      <c r="M75" s="10"/>
      <c r="N75" s="144"/>
      <c r="O75" s="10"/>
      <c r="P75" s="26">
        <v>490000</v>
      </c>
      <c r="Q75" s="54"/>
      <c r="R75" s="54"/>
      <c r="S75" s="26"/>
      <c r="T75" s="135">
        <f>SUM(H75:S75)</f>
        <v>490000</v>
      </c>
      <c r="U75" s="135">
        <f>+G75-T75</f>
        <v>7000</v>
      </c>
    </row>
    <row r="76" spans="1:21" ht="23.25">
      <c r="A76" s="10"/>
      <c r="B76" s="53"/>
      <c r="C76" s="32"/>
      <c r="D76" s="26"/>
      <c r="E76" s="26"/>
      <c r="F76" s="54"/>
      <c r="G76" s="144"/>
      <c r="H76" s="10"/>
      <c r="I76" s="10"/>
      <c r="J76" s="10"/>
      <c r="K76" s="10"/>
      <c r="L76" s="10"/>
      <c r="M76" s="10"/>
      <c r="N76" s="144"/>
      <c r="O76" s="10"/>
      <c r="P76" s="15"/>
      <c r="Q76" s="54"/>
      <c r="R76" s="54"/>
      <c r="S76" s="26"/>
      <c r="T76" s="135"/>
      <c r="U76" s="135"/>
    </row>
    <row r="77" spans="1:21" ht="23.25">
      <c r="A77" s="10"/>
      <c r="B77" s="53"/>
      <c r="C77" s="32"/>
      <c r="D77" s="26"/>
      <c r="E77" s="26"/>
      <c r="F77" s="54"/>
      <c r="G77" s="144"/>
      <c r="H77" s="10"/>
      <c r="I77" s="10"/>
      <c r="J77" s="10"/>
      <c r="K77" s="10"/>
      <c r="L77" s="10"/>
      <c r="M77" s="10"/>
      <c r="N77" s="144"/>
      <c r="O77" s="10"/>
      <c r="P77" s="15"/>
      <c r="Q77" s="54"/>
      <c r="R77" s="54"/>
      <c r="S77" s="26"/>
      <c r="T77" s="135"/>
      <c r="U77" s="135"/>
    </row>
    <row r="78" spans="1:21" ht="23.25">
      <c r="A78" s="10"/>
      <c r="B78" s="53"/>
      <c r="C78" s="32"/>
      <c r="D78" s="26"/>
      <c r="E78" s="26"/>
      <c r="F78" s="54"/>
      <c r="G78" s="144"/>
      <c r="H78" s="10"/>
      <c r="I78" s="10"/>
      <c r="J78" s="10"/>
      <c r="K78" s="10"/>
      <c r="L78" s="10"/>
      <c r="M78" s="10"/>
      <c r="N78" s="144"/>
      <c r="O78" s="10"/>
      <c r="P78" s="15"/>
      <c r="Q78" s="54"/>
      <c r="R78" s="54"/>
      <c r="S78" s="26"/>
      <c r="T78" s="135"/>
      <c r="U78" s="135"/>
    </row>
    <row r="79" spans="1:21" ht="23.25">
      <c r="A79" s="10"/>
      <c r="B79" s="53"/>
      <c r="C79" s="32"/>
      <c r="D79" s="55" t="s">
        <v>0</v>
      </c>
      <c r="E79" s="26"/>
      <c r="F79" s="10"/>
      <c r="G79" s="165"/>
      <c r="H79" s="10"/>
      <c r="I79" s="10"/>
      <c r="J79" s="10"/>
      <c r="K79" s="10"/>
      <c r="L79" s="10"/>
      <c r="M79" s="10"/>
      <c r="N79" s="144"/>
      <c r="O79" s="10"/>
      <c r="P79" s="135">
        <f aca="true" t="shared" si="4" ref="P79:U79">SUM(P65:P74)</f>
        <v>910000</v>
      </c>
      <c r="Q79" s="35">
        <f t="shared" si="4"/>
        <v>0</v>
      </c>
      <c r="R79" s="35">
        <f t="shared" si="4"/>
        <v>0</v>
      </c>
      <c r="S79" s="35">
        <f t="shared" si="4"/>
        <v>0</v>
      </c>
      <c r="T79" s="135">
        <f t="shared" si="4"/>
        <v>910000</v>
      </c>
      <c r="U79" s="135">
        <f t="shared" si="4"/>
        <v>9500</v>
      </c>
    </row>
    <row r="80" spans="1:21" ht="23.25">
      <c r="A80" s="10"/>
      <c r="B80" s="53"/>
      <c r="C80" s="32"/>
      <c r="D80" s="55" t="s">
        <v>79</v>
      </c>
      <c r="E80" s="26"/>
      <c r="F80" s="10"/>
      <c r="G80" s="221">
        <f>SUM(G65:G79)</f>
        <v>1416500</v>
      </c>
      <c r="H80" s="222">
        <f aca="true" t="shared" si="5" ref="H80:U80">SUM(H65:H79)</f>
        <v>0</v>
      </c>
      <c r="I80" s="222">
        <f t="shared" si="5"/>
        <v>0</v>
      </c>
      <c r="J80" s="222">
        <f t="shared" si="5"/>
        <v>0</v>
      </c>
      <c r="K80" s="222">
        <f t="shared" si="5"/>
        <v>0</v>
      </c>
      <c r="L80" s="222">
        <f t="shared" si="5"/>
        <v>0</v>
      </c>
      <c r="M80" s="222">
        <f t="shared" si="5"/>
        <v>0</v>
      </c>
      <c r="N80" s="220">
        <f t="shared" si="5"/>
        <v>0</v>
      </c>
      <c r="O80" s="222">
        <f t="shared" si="5"/>
        <v>0</v>
      </c>
      <c r="P80" s="223">
        <f t="shared" si="5"/>
        <v>2310000</v>
      </c>
      <c r="Q80" s="161">
        <f t="shared" si="5"/>
        <v>0</v>
      </c>
      <c r="R80" s="161">
        <f t="shared" si="5"/>
        <v>0</v>
      </c>
      <c r="S80" s="161">
        <f t="shared" si="5"/>
        <v>0</v>
      </c>
      <c r="T80" s="220">
        <f t="shared" si="5"/>
        <v>2310000</v>
      </c>
      <c r="U80" s="223">
        <f t="shared" si="5"/>
        <v>26000</v>
      </c>
    </row>
    <row r="81" spans="1:21" ht="23.25">
      <c r="A81" s="45"/>
      <c r="B81" s="78"/>
      <c r="C81" s="84"/>
      <c r="D81" s="85"/>
      <c r="E81" s="85"/>
      <c r="F81" s="45"/>
      <c r="G81" s="166"/>
      <c r="H81" s="45"/>
      <c r="I81" s="45"/>
      <c r="J81" s="45"/>
      <c r="K81" s="45"/>
      <c r="L81" s="45"/>
      <c r="M81" s="45"/>
      <c r="N81" s="68"/>
      <c r="O81" s="45"/>
      <c r="P81" s="66"/>
      <c r="Q81" s="86"/>
      <c r="R81" s="86"/>
      <c r="S81" s="85"/>
      <c r="T81" s="147"/>
      <c r="U81" s="147"/>
    </row>
    <row r="82" spans="1:21" ht="23.25">
      <c r="A82" s="45"/>
      <c r="B82" s="78"/>
      <c r="C82" s="84"/>
      <c r="D82" s="85"/>
      <c r="E82" s="85"/>
      <c r="F82" s="45"/>
      <c r="G82" s="166"/>
      <c r="H82" s="45"/>
      <c r="I82" s="45"/>
      <c r="J82" s="45"/>
      <c r="K82" s="45"/>
      <c r="L82" s="45"/>
      <c r="M82" s="45"/>
      <c r="N82" s="68"/>
      <c r="O82" s="45"/>
      <c r="P82" s="66"/>
      <c r="Q82" s="86"/>
      <c r="R82" s="86"/>
      <c r="S82" s="85"/>
      <c r="T82" s="147"/>
      <c r="U82" s="147"/>
    </row>
  </sheetData>
  <sheetProtection/>
  <mergeCells count="15">
    <mergeCell ref="A31:A32"/>
    <mergeCell ref="C31:D31"/>
    <mergeCell ref="C61:D61"/>
    <mergeCell ref="C62:D62"/>
    <mergeCell ref="C63:D63"/>
    <mergeCell ref="A57:U57"/>
    <mergeCell ref="A58:U58"/>
    <mergeCell ref="A59:A60"/>
    <mergeCell ref="C59:D59"/>
    <mergeCell ref="A29:U29"/>
    <mergeCell ref="A30:U30"/>
    <mergeCell ref="A1:U1"/>
    <mergeCell ref="A3:A4"/>
    <mergeCell ref="C3:D3"/>
    <mergeCell ref="A2:U2"/>
  </mergeCells>
  <printOptions/>
  <pageMargins left="0.37" right="0.15748031496062992" top="0.7874015748031497" bottom="0.7874015748031497" header="0.5118110236220472" footer="0.5118110236220472"/>
  <pageSetup horizontalDpi="600" verticalDpi="600" orientation="landscape" paperSize="5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C4">
      <pane xSplit="2" topLeftCell="K1" activePane="topRight" state="frozen"/>
      <selection pane="topLeft" activeCell="C1" sqref="C1"/>
      <selection pane="topRight" activeCell="S9" sqref="S9"/>
    </sheetView>
  </sheetViews>
  <sheetFormatPr defaultColWidth="9.140625" defaultRowHeight="23.25"/>
  <cols>
    <col min="1" max="1" width="38.140625" style="0" customWidth="1"/>
    <col min="2" max="2" width="15.28125" style="0" customWidth="1"/>
    <col min="3" max="3" width="14.7109375" style="0" customWidth="1"/>
    <col min="4" max="4" width="16.28125" style="0" customWidth="1"/>
    <col min="5" max="5" width="14.421875" style="0" customWidth="1"/>
    <col min="6" max="6" width="15.00390625" style="0" customWidth="1"/>
    <col min="7" max="8" width="12.57421875" style="0" customWidth="1"/>
    <col min="9" max="11" width="12.7109375" style="0" customWidth="1"/>
    <col min="12" max="12" width="13.140625" style="0" customWidth="1"/>
    <col min="13" max="13" width="12.7109375" style="0" customWidth="1"/>
    <col min="14" max="14" width="13.140625" style="0" customWidth="1"/>
    <col min="15" max="15" width="13.57421875" style="0" customWidth="1"/>
    <col min="16" max="16" width="12.00390625" style="0" customWidth="1"/>
    <col min="17" max="17" width="13.57421875" style="0" customWidth="1"/>
    <col min="18" max="18" width="14.7109375" style="0" customWidth="1"/>
    <col min="19" max="19" width="16.421875" style="0" customWidth="1"/>
    <col min="20" max="20" width="17.140625" style="0" customWidth="1"/>
    <col min="21" max="21" width="12.7109375" style="0" bestFit="1" customWidth="1"/>
  </cols>
  <sheetData>
    <row r="1" spans="5:17" ht="23.25">
      <c r="E1" s="250"/>
      <c r="F1" s="250" t="s">
        <v>108</v>
      </c>
      <c r="Q1" s="3"/>
    </row>
    <row r="2" spans="1:18" ht="24.75" customHeight="1">
      <c r="A2" s="235" t="s">
        <v>72</v>
      </c>
      <c r="B2" s="238"/>
      <c r="C2" s="3"/>
      <c r="D2" s="248"/>
      <c r="E2" s="3" t="s">
        <v>109</v>
      </c>
      <c r="F2" s="3" t="s">
        <v>110</v>
      </c>
      <c r="G2" s="3" t="s">
        <v>111</v>
      </c>
      <c r="H2" s="3" t="s">
        <v>112</v>
      </c>
      <c r="I2" s="3" t="s">
        <v>113</v>
      </c>
      <c r="J2" s="3" t="s">
        <v>114</v>
      </c>
      <c r="K2" s="3" t="s">
        <v>115</v>
      </c>
      <c r="L2" s="3" t="s">
        <v>116</v>
      </c>
      <c r="M2" s="3" t="s">
        <v>117</v>
      </c>
      <c r="N2" s="3" t="s">
        <v>118</v>
      </c>
      <c r="O2" s="3" t="s">
        <v>119</v>
      </c>
      <c r="P2" s="3" t="s">
        <v>120</v>
      </c>
      <c r="Q2" s="3" t="s">
        <v>0</v>
      </c>
      <c r="R2" s="3"/>
    </row>
    <row r="3" spans="1:20" ht="26.25">
      <c r="A3" s="236" t="s">
        <v>49</v>
      </c>
      <c r="B3" s="238"/>
      <c r="C3" s="249"/>
      <c r="D3" s="248" t="s">
        <v>102</v>
      </c>
      <c r="E3" s="249">
        <f>งบกลาง!H14</f>
        <v>685611</v>
      </c>
      <c r="F3" s="249">
        <f>งบกลาง!I14</f>
        <v>548320</v>
      </c>
      <c r="G3" s="249">
        <f>งบกลาง!J14</f>
        <v>549120</v>
      </c>
      <c r="H3" s="249">
        <f>งบกลาง!K14</f>
        <v>627320</v>
      </c>
      <c r="I3" s="249">
        <f>งบกลาง!L14</f>
        <v>547320</v>
      </c>
      <c r="J3" s="249">
        <f>งบกลาง!M14</f>
        <v>547320</v>
      </c>
      <c r="K3" s="249">
        <f>งบกลาง!N14</f>
        <v>547320</v>
      </c>
      <c r="L3" s="249">
        <f>งบกลาง!O14</f>
        <v>547330</v>
      </c>
      <c r="M3" s="249">
        <f>งบกลาง!P14</f>
        <v>3820</v>
      </c>
      <c r="N3" s="249">
        <f>งบกลาง!Q14</f>
        <v>1085320</v>
      </c>
      <c r="O3" s="249">
        <f>งบกลาง!R14</f>
        <v>541220</v>
      </c>
      <c r="P3" s="249">
        <f>งบกลาง!S14</f>
        <v>544240</v>
      </c>
      <c r="Q3" s="249">
        <f>SUM(E3:P3)</f>
        <v>6774261</v>
      </c>
      <c r="R3" s="249"/>
      <c r="S3" s="437"/>
      <c r="T3" s="437"/>
    </row>
    <row r="4" spans="1:21" ht="26.25">
      <c r="A4" s="236" t="s">
        <v>73</v>
      </c>
      <c r="B4" s="238"/>
      <c r="C4" s="249"/>
      <c r="D4" s="248" t="s">
        <v>464</v>
      </c>
      <c r="E4" s="249">
        <f>สำนักปลัด!H10+สำนักปลัด!H11+สำนักปลัด!H12+สำนักปลัด!H13+สำนักปลัด!H14</f>
        <v>207060</v>
      </c>
      <c r="F4" s="249">
        <f>สำนักปลัด!I10+สำนักปลัด!I11+สำนักปลัด!I12+สำนักปลัด!I13+สำนักปลัด!I14</f>
        <v>207060</v>
      </c>
      <c r="G4" s="249">
        <f>สำนักปลัด!J10+สำนักปลัด!J11+สำนักปลัด!J12+สำนักปลัด!J13+สำนักปลัด!J14</f>
        <v>207060</v>
      </c>
      <c r="H4" s="249">
        <f>สำนักปลัด!K10+สำนักปลัด!K11+สำนักปลัด!K12+สำนักปลัด!K13+สำนักปลัด!K14</f>
        <v>207060</v>
      </c>
      <c r="I4" s="249">
        <f>สำนักปลัด!L10+สำนักปลัด!L11+สำนักปลัด!L12+สำนักปลัด!L13+สำนักปลัด!L14</f>
        <v>207060</v>
      </c>
      <c r="J4" s="249">
        <f>สำนักปลัด!M10+สำนักปลัด!M11+สำนักปลัด!M12+สำนักปลัด!M13+สำนักปลัด!M14</f>
        <v>207060</v>
      </c>
      <c r="K4" s="249">
        <f>สำนักปลัด!N10+สำนักปลัด!N11+สำนักปลัด!N12+สำนักปลัด!N13+สำนักปลัด!N14</f>
        <v>207060</v>
      </c>
      <c r="L4" s="249">
        <f>สำนักปลัด!O10+สำนักปลัด!O11+สำนักปลัด!O12+สำนักปลัด!O13+สำนักปลัด!O14</f>
        <v>207060</v>
      </c>
      <c r="M4" s="249">
        <f>สำนักปลัด!P10+สำนักปลัด!P11+สำนักปลัด!P12+สำนักปลัด!P13+สำนักปลัด!P14</f>
        <v>207060</v>
      </c>
      <c r="N4" s="249">
        <f>สำนักปลัด!Q10+สำนักปลัด!Q11+สำนักปลัด!Q12+สำนักปลัด!Q13+สำนักปลัด!Q14</f>
        <v>207060</v>
      </c>
      <c r="O4" s="249">
        <f>สำนักปลัด!R10+สำนักปลัด!R11+สำนักปลัด!R12+สำนักปลัด!R13+สำนักปลัด!R14</f>
        <v>207060</v>
      </c>
      <c r="P4" s="249">
        <f>สำนักปลัด!S10+สำนักปลัด!S11+สำนักปลัด!S12+สำนักปลัด!S13+สำนักปลัด!S14</f>
        <v>207060</v>
      </c>
      <c r="Q4" s="249">
        <f aca="true" t="shared" si="0" ref="Q4:Q13">SUM(E4:P4)</f>
        <v>2484720</v>
      </c>
      <c r="R4" s="249"/>
      <c r="S4" s="248"/>
      <c r="T4" s="437"/>
      <c r="U4" s="249"/>
    </row>
    <row r="5" spans="1:20" ht="26.25">
      <c r="A5" s="236" t="s">
        <v>94</v>
      </c>
      <c r="B5" s="238"/>
      <c r="C5" s="249"/>
      <c r="D5" s="248" t="s">
        <v>465</v>
      </c>
      <c r="E5" s="249">
        <f>สำนักปลัด!H16+สำนักปลัด!H17+สำนักปลัด!H18+สำนักปลัด!H19+สำนักปลัด!H20+การคลัง!H9+การคลัง!H10+การคลัง!H14+การคลัง!H15+ส่วนโยธา!H9+ส่วนโยธา!H11+ส่วนศึกษา!H9+ส่วนศึกษา!H10+ส่วนศึกษา!H15+ส่วนศึกษา!H16</f>
        <v>386070</v>
      </c>
      <c r="F5" s="249">
        <f>สำนักปลัด!I16+สำนักปลัด!I17+สำนักปลัด!I18+สำนักปลัด!I19+สำนักปลัด!I20+การคลัง!I9+การคลัง!I10+การคลัง!I14+การคลัง!I15+ส่วนโยธา!I9+ส่วนโยธา!I11+ส่วนศึกษา!I9+ส่วนศึกษา!I10+ส่วนศึกษา!I15+ส่วนศึกษา!I16</f>
        <v>519340</v>
      </c>
      <c r="G5" s="249">
        <f>สำนักปลัด!J16+สำนักปลัด!J17+สำนักปลัด!J18+สำนักปลัด!J19+สำนักปลัด!J20+การคลัง!J9+การคลัง!J10+การคลัง!J14+การคลัง!J15+ส่วนโยธา!J9+ส่วนโยธา!J11+ส่วนศึกษา!J9+ส่วนศึกษา!J10+ส่วนศึกษา!J15+ส่วนศึกษา!J16</f>
        <v>421415</v>
      </c>
      <c r="H5" s="249">
        <f>สำนักปลัด!K16+สำนักปลัด!K17+สำนักปลัด!K18+สำนักปลัด!K19+สำนักปลัด!K20+การคลัง!K9+การคลัง!K10+การคลัง!K14+การคลัง!K15+ส่วนโยธา!K9+ส่วนโยธา!K11+ส่วนศึกษา!K9+ส่วนศึกษา!K10+ส่วนศึกษา!K15+ส่วนศึกษา!K16</f>
        <v>421415</v>
      </c>
      <c r="I5" s="249">
        <f>สำนักปลัด!L16+สำนักปลัด!L17+สำนักปลัด!L18+สำนักปลัด!L19+สำนักปลัด!L20+การคลัง!L9+การคลัง!L10+การคลัง!L14+การคลัง!L15+ส่วนโยธา!L9+ส่วนโยธา!L11+ส่วนศึกษา!L9+ส่วนศึกษา!L10+ส่วนศึกษา!L15+ส่วนศึกษา!L16</f>
        <v>432925</v>
      </c>
      <c r="J5" s="249">
        <f>สำนักปลัด!M16+สำนักปลัด!M17+สำนักปลัด!M18+สำนักปลัด!M19+สำนักปลัด!M20+การคลัง!M9+การคลัง!M10+การคลัง!M14+การคลัง!M15+ส่วนโยธา!M9+ส่วนโยธา!M11+ส่วนศึกษา!M9+ส่วนศึกษา!M10+ส่วนศึกษา!M15+ส่วนศึกษา!M16</f>
        <v>436475</v>
      </c>
      <c r="K5" s="249">
        <f>สำนักปลัด!N16+สำนักปลัด!N17+สำนักปลัด!N18+สำนักปลัด!N19+สำนักปลัด!N20+การคลัง!N9+การคลัง!N10+การคลัง!N14+การคลัง!N15+ส่วนโยธา!N9+ส่วนโยธา!N11+ส่วนศึกษา!N9+ส่วนศึกษา!N10+ส่วนศึกษา!N15+ส่วนศึกษา!N16</f>
        <v>441750</v>
      </c>
      <c r="L5" s="249">
        <f>สำนักปลัด!O16+สำนักปลัด!O17+สำนักปลัด!O18+สำนักปลัด!O19+สำนักปลัด!O20+การคลัง!O9+การคลัง!O10+การคลัง!O14+การคลัง!O15+ส่วนโยธา!O9+ส่วนโยธา!O11+ส่วนศึกษา!O9+ส่วนศึกษา!O10+ส่วนศึกษา!O15+ส่วนศึกษา!O16</f>
        <v>441750</v>
      </c>
      <c r="M5" s="249">
        <f>สำนักปลัด!P16+สำนักปลัด!P17+สำนักปลัด!P18+สำนักปลัด!P19+สำนักปลัด!P20+การคลัง!P9+การคลัง!P10+การคลัง!P14+การคลัง!P15+ส่วนโยธา!P9+ส่วนโยธา!P11+ส่วนศึกษา!P9+ส่วนศึกษา!P10+ส่วนศึกษา!P15+ส่วนศึกษา!P16</f>
        <v>425267</v>
      </c>
      <c r="N5" s="249">
        <f>สำนักปลัด!Q16+สำนักปลัด!Q17+สำนักปลัด!Q18+สำนักปลัด!Q19+สำนักปลัด!Q20+การคลัง!Q9+การคลัง!Q10+การคลัง!Q14+การคลัง!Q15+ส่วนโยธา!Q9+ส่วนโยธา!Q11+ส่วนศึกษา!Q9+ส่วนศึกษา!Q10+ส่วนศึกษา!Q15+ส่วนศึกษา!Q16</f>
        <v>420372</v>
      </c>
      <c r="O5" s="249">
        <f>สำนักปลัด!R16+สำนักปลัด!R17+สำนักปลัด!R18+สำนักปลัด!R19+สำนักปลัด!R20+การคลัง!R9+การคลัง!R10+การคลัง!R14+การคลัง!R15+ส่วนโยธา!R9+ส่วนโยธา!R11+ส่วนศึกษา!R9+ส่วนศึกษา!R10+ส่วนศึกษา!R15+ส่วนศึกษา!R16+ส่วนศึกษา!R11</f>
        <v>434390</v>
      </c>
      <c r="P5" s="249">
        <f>สำนักปลัด!S16+สำนักปลัด!S17+สำนักปลัด!S18+สำนักปลัด!S19+สำนักปลัด!S20+การคลัง!S9+การคลัง!S10+การคลัง!S14+การคลัง!S15+ส่วนโยธา!S9+ส่วนโยธา!S11+ส่วนศึกษา!S9+ส่วนศึกษา!S10+ส่วนศึกษา!S15+ส่วนศึกษา!S16+ส่วนศึกษา!S11</f>
        <v>423860</v>
      </c>
      <c r="Q5" s="249">
        <f t="shared" si="0"/>
        <v>5205029</v>
      </c>
      <c r="R5" s="249"/>
      <c r="S5" s="248"/>
      <c r="T5" s="437"/>
    </row>
    <row r="6" spans="1:20" ht="26.25">
      <c r="A6" s="236" t="s">
        <v>95</v>
      </c>
      <c r="B6" s="238"/>
      <c r="C6" s="249"/>
      <c r="D6" s="248" t="s">
        <v>93</v>
      </c>
      <c r="E6" s="249">
        <f>สำนักปลัด!H32+การคลัง!H27+ส่วนโยธา!H25+ส่วนศึกษา!H23</f>
        <v>0</v>
      </c>
      <c r="F6" s="249">
        <f>สำนักปลัด!I32+การคลัง!I27+ส่วนโยธา!I25+ส่วนศึกษา!I23</f>
        <v>41878.25</v>
      </c>
      <c r="G6" s="249">
        <f>สำนักปลัด!J32+การคลัง!J27+ส่วนโยธา!J25+ส่วนศึกษา!J23</f>
        <v>46580</v>
      </c>
      <c r="H6" s="249">
        <f>สำนักปลัด!K32+การคลัง!K27+ส่วนโยธา!K25+ส่วนศึกษา!K23</f>
        <v>41800</v>
      </c>
      <c r="I6" s="249">
        <f>สำนักปลัด!L32+การคลัง!L27+ส่วนโยธา!L25+ส่วนศึกษา!L23</f>
        <v>39000</v>
      </c>
      <c r="J6" s="249">
        <f>สำนักปลัด!M32+การคลัง!M27+ส่วนโยธา!M25+ส่วนศึกษา!M23</f>
        <v>33000</v>
      </c>
      <c r="K6" s="249">
        <f>สำนักปลัด!N32+การคลัง!N27+ส่วนโยธา!N25+ส่วนศึกษา!N23</f>
        <v>36400</v>
      </c>
      <c r="L6" s="249">
        <f>สำนักปลัด!O32+การคลัง!O27+ส่วนโยธา!O25+ส่วนศึกษา!O23</f>
        <v>33000</v>
      </c>
      <c r="M6" s="249">
        <f>สำนักปลัด!P32+การคลัง!P27+ส่วนโยธา!P25+ส่วนศึกษา!P23</f>
        <v>49368.5</v>
      </c>
      <c r="N6" s="249">
        <f>สำนักปลัด!Q32+การคลัง!Q27+ส่วนโยธา!Q25+ส่วนศึกษา!Q23</f>
        <v>37800</v>
      </c>
      <c r="O6" s="249">
        <f>สำนักปลัด!R32+การคลัง!R27+ส่วนโยธา!R25+ส่วนศึกษา!R23</f>
        <v>30000</v>
      </c>
      <c r="P6" s="249">
        <f>สำนักปลัด!S32+การคลัง!S27+ส่วนโยธา!S25+ส่วนศึกษา!S23</f>
        <v>650600</v>
      </c>
      <c r="Q6" s="249">
        <f t="shared" si="0"/>
        <v>1039426.75</v>
      </c>
      <c r="R6" s="249"/>
      <c r="S6" s="437"/>
      <c r="T6" s="437"/>
    </row>
    <row r="7" spans="1:21" ht="26.25">
      <c r="A7" s="236" t="s">
        <v>97</v>
      </c>
      <c r="B7" s="238"/>
      <c r="C7" s="249"/>
      <c r="D7" s="248" t="s">
        <v>23</v>
      </c>
      <c r="E7" s="249">
        <f>สำนักปลัด!H101+การคลัง!H46+ส่วนโยธา!H42+ส่วนศึกษา!H65</f>
        <v>33600</v>
      </c>
      <c r="F7" s="249">
        <f>สำนักปลัด!I101+การคลัง!I46+ส่วนโยธา!I42+ส่วนศึกษา!I65</f>
        <v>175175.34</v>
      </c>
      <c r="G7" s="249">
        <f>สำนักปลัด!J101+การคลัง!J46+ส่วนโยธา!J42+ส่วนศึกษา!J65</f>
        <v>95480</v>
      </c>
      <c r="H7" s="249">
        <f>สำนักปลัด!K101+การคลัง!K46+ส่วนโยธา!K42+ส่วนศึกษา!K65</f>
        <v>293537</v>
      </c>
      <c r="I7" s="249">
        <f>สำนักปลัด!L101+การคลัง!L46+ส่วนโยธา!L42+ส่วนศึกษา!L65</f>
        <v>246520</v>
      </c>
      <c r="J7" s="249">
        <f>สำนักปลัด!M101+การคลัง!M46+ส่วนโยธา!M42+ส่วนศึกษา!M65</f>
        <v>200474</v>
      </c>
      <c r="K7" s="249">
        <f>สำนักปลัด!N101+การคลัง!N46+ส่วนโยธา!N42+ส่วนศึกษา!N65</f>
        <v>153984</v>
      </c>
      <c r="L7" s="249">
        <f>สำนักปลัด!O101+การคลัง!O46+ส่วนโยธา!O42+ส่วนศึกษา!O65</f>
        <v>339713.38</v>
      </c>
      <c r="M7" s="249">
        <f>สำนักปลัด!P101+การคลัง!P46+ส่วนโยธา!P42+ส่วนศึกษา!P65</f>
        <v>340279</v>
      </c>
      <c r="N7" s="249">
        <f>สำนักปลัด!Q101+การคลัง!Q46+ส่วนโยธา!Q42+ส่วนศึกษา!Q65</f>
        <v>215168</v>
      </c>
      <c r="O7" s="249">
        <f>สำนักปลัด!R101+การคลัง!R46+ส่วนโยธา!R42+ส่วนศึกษา!R65</f>
        <v>224561</v>
      </c>
      <c r="P7" s="249">
        <f>สำนักปลัด!S101+การคลัง!S46+ส่วนโยธา!S42+ส่วนศึกษา!S65</f>
        <v>319533</v>
      </c>
      <c r="Q7" s="249">
        <f t="shared" si="0"/>
        <v>2638024.7199999997</v>
      </c>
      <c r="R7" s="249"/>
      <c r="S7" s="437"/>
      <c r="T7" s="437"/>
      <c r="U7" s="249"/>
    </row>
    <row r="8" spans="1:21" ht="26.25">
      <c r="A8" s="236" t="s">
        <v>96</v>
      </c>
      <c r="B8" s="238"/>
      <c r="C8" s="249"/>
      <c r="D8" s="248" t="s">
        <v>17</v>
      </c>
      <c r="E8" s="249">
        <f>สำนักปลัด!H115+การคลัง!H51+ส่วนโยธา!H48+ส่วนศึกษา!H78</f>
        <v>5400</v>
      </c>
      <c r="F8" s="249">
        <f>สำนักปลัด!I115+การคลัง!I51+ส่วนโยธา!I48+ส่วนศึกษา!I78</f>
        <v>0</v>
      </c>
      <c r="G8" s="249">
        <f>สำนักปลัด!J115+การคลัง!J51+ส่วนโยธา!J48+ส่วนศึกษา!J78</f>
        <v>14150</v>
      </c>
      <c r="H8" s="249">
        <f>สำนักปลัด!K115+การคลัง!K51+ส่วนโยธา!K48+ส่วนศึกษา!K78</f>
        <v>7190</v>
      </c>
      <c r="I8" s="249">
        <f>สำนักปลัด!L115+การคลัง!L51+ส่วนโยธา!L48+ส่วนศึกษา!L78</f>
        <v>10695</v>
      </c>
      <c r="J8" s="249">
        <f>สำนักปลัด!M115+การคลัง!M51+ส่วนโยธา!M48+ส่วนศึกษา!M78</f>
        <v>129837</v>
      </c>
      <c r="K8" s="249">
        <f>สำนักปลัด!N115+การคลัง!N51+ส่วนโยธา!N48+ส่วนศึกษา!N78</f>
        <v>72770</v>
      </c>
      <c r="L8" s="249">
        <f>สำนักปลัด!O115+การคลัง!O51+ส่วนโยธา!O48+ส่วนศึกษา!O78</f>
        <v>161553.6</v>
      </c>
      <c r="M8" s="249">
        <f>สำนักปลัด!P115+การคลัง!P51+ส่วนโยธา!P48+ส่วนศึกษา!P78</f>
        <v>41237.2</v>
      </c>
      <c r="N8" s="249">
        <f>สำนักปลัด!Q115+การคลัง!Q51+ส่วนโยธา!Q48+ส่วนศึกษา!Q78</f>
        <v>53781.14</v>
      </c>
      <c r="O8" s="249">
        <f>สำนักปลัด!R115+การคลัง!R51+ส่วนโยธา!R48+ส่วนศึกษา!R78</f>
        <v>18440</v>
      </c>
      <c r="P8" s="249">
        <f>สำนักปลัด!S115+การคลัง!S51+ส่วนโยธา!S48+ส่วนศึกษา!S78</f>
        <v>266635.88</v>
      </c>
      <c r="Q8" s="249">
        <f t="shared" si="0"/>
        <v>781689.8200000001</v>
      </c>
      <c r="R8" s="249"/>
      <c r="S8" s="248"/>
      <c r="T8" s="437"/>
      <c r="U8" s="249"/>
    </row>
    <row r="9" spans="1:21" ht="26.25">
      <c r="A9" s="236" t="s">
        <v>98</v>
      </c>
      <c r="B9" s="238"/>
      <c r="C9" s="249"/>
      <c r="D9" s="248" t="s">
        <v>103</v>
      </c>
      <c r="E9" s="249">
        <f>สำนักปลัด!H123</f>
        <v>13580.86</v>
      </c>
      <c r="F9" s="249">
        <f>สำนักปลัด!I123</f>
        <v>16798.59</v>
      </c>
      <c r="G9" s="249">
        <f>สำนักปลัด!J123</f>
        <v>7531.63</v>
      </c>
      <c r="H9" s="249">
        <f>สำนักปลัด!K123</f>
        <v>30655.18</v>
      </c>
      <c r="I9" s="249">
        <f>สำนักปลัด!L123</f>
        <v>15934.75</v>
      </c>
      <c r="J9" s="249">
        <f>สำนักปลัด!M123</f>
        <v>2581.48</v>
      </c>
      <c r="K9" s="249">
        <f>สำนักปลัด!N123</f>
        <v>11352.8</v>
      </c>
      <c r="L9" s="249">
        <f>สำนักปลัด!O123</f>
        <v>12382.109999999999</v>
      </c>
      <c r="M9" s="249">
        <f>สำนักปลัด!P123</f>
        <v>12681.220000000001</v>
      </c>
      <c r="N9" s="249">
        <f>สำนักปลัด!Q123</f>
        <v>12848.07</v>
      </c>
      <c r="O9" s="249">
        <f>สำนักปลัด!R123</f>
        <v>22411.079999999994</v>
      </c>
      <c r="P9" s="249">
        <f>สำนักปลัด!S123</f>
        <v>12344.630000000001</v>
      </c>
      <c r="Q9" s="249">
        <f t="shared" si="0"/>
        <v>171102.4</v>
      </c>
      <c r="R9" s="249"/>
      <c r="S9" s="437"/>
      <c r="T9" s="437"/>
      <c r="U9" s="249"/>
    </row>
    <row r="10" spans="1:20" ht="26.25">
      <c r="A10" s="236" t="s">
        <v>65</v>
      </c>
      <c r="B10" s="238"/>
      <c r="C10" s="249"/>
      <c r="D10" s="248" t="s">
        <v>104</v>
      </c>
      <c r="E10" s="249">
        <f>สำนักปลัด!H164+ส่วนศึกษา!H83</f>
        <v>0</v>
      </c>
      <c r="F10" s="249">
        <f>สำนักปลัด!I164+ส่วนศึกษา!I83</f>
        <v>100000</v>
      </c>
      <c r="G10" s="249">
        <f>สำนักปลัด!J164+ส่วนศึกษา!J83</f>
        <v>0</v>
      </c>
      <c r="H10" s="249">
        <f>สำนักปลัด!K164+ส่วนศึกษา!K83</f>
        <v>100000</v>
      </c>
      <c r="I10" s="249">
        <f>สำนักปลัด!L164+ส่วนศึกษา!L83</f>
        <v>0</v>
      </c>
      <c r="J10" s="249">
        <f>สำนักปลัด!M164+ส่วนศึกษา!M83</f>
        <v>0</v>
      </c>
      <c r="K10" s="249">
        <f>สำนักปลัด!N164+ส่วนศึกษา!N83</f>
        <v>11000</v>
      </c>
      <c r="L10" s="249">
        <f>สำนักปลัด!O164+ส่วนศึกษา!O83</f>
        <v>0</v>
      </c>
      <c r="M10" s="249">
        <f>สำนักปลัด!P164+ส่วนศึกษา!P83</f>
        <v>99000</v>
      </c>
      <c r="N10" s="249">
        <f>สำนักปลัด!Q164+ส่วนศึกษา!Q83</f>
        <v>0</v>
      </c>
      <c r="O10" s="249">
        <f>สำนักปลัด!R164+ส่วนศึกษา!R83</f>
        <v>99000</v>
      </c>
      <c r="P10" s="249">
        <f>สำนักปลัด!S164+ส่วนศึกษา!S83</f>
        <v>0</v>
      </c>
      <c r="Q10" s="249">
        <f t="shared" si="0"/>
        <v>409000</v>
      </c>
      <c r="R10" s="249"/>
      <c r="S10" s="248"/>
      <c r="T10" s="437"/>
    </row>
    <row r="11" spans="1:20" ht="22.5" customHeight="1">
      <c r="A11" s="237" t="s">
        <v>100</v>
      </c>
      <c r="B11" s="238"/>
      <c r="C11" s="249"/>
      <c r="D11" s="248" t="s">
        <v>105</v>
      </c>
      <c r="E11" s="249">
        <f>สำนักปลัด!H149+การคลัง!H56+ส่วนโยธา!H60+ส่วนศึกษา!H91</f>
        <v>0</v>
      </c>
      <c r="F11" s="249">
        <f>สำนักปลัด!I149+การคลัง!I56+ส่วนโยธา!I60+ส่วนศึกษา!I91</f>
        <v>0</v>
      </c>
      <c r="G11" s="249">
        <f>สำนักปลัด!J149+การคลัง!J56+ส่วนโยธา!J60+ส่วนศึกษา!J91</f>
        <v>0</v>
      </c>
      <c r="H11" s="249">
        <f>สำนักปลัด!K149+การคลัง!K56+ส่วนโยธา!K60+ส่วนศึกษา!K91</f>
        <v>0</v>
      </c>
      <c r="I11" s="249">
        <f>สำนักปลัด!L149+การคลัง!L56+ส่วนโยธา!L60+ส่วนศึกษา!L91</f>
        <v>0</v>
      </c>
      <c r="J11" s="249">
        <f>สำนักปลัด!M149+การคลัง!M56+ส่วนโยธา!M60+ส่วนศึกษา!M91</f>
        <v>10700</v>
      </c>
      <c r="K11" s="249">
        <f>สำนักปลัด!N149+การคลัง!N56+ส่วนโยธา!N60+ส่วนศึกษา!N91</f>
        <v>0</v>
      </c>
      <c r="L11" s="249">
        <f>สำนักปลัด!O149+การคลัง!O56+ส่วนโยธา!O60+ส่วนศึกษา!O91</f>
        <v>30880</v>
      </c>
      <c r="M11" s="249">
        <f>สำนักปลัด!P149+การคลัง!P56+ส่วนโยธา!P60+ส่วนศึกษา!P91</f>
        <v>250000</v>
      </c>
      <c r="N11" s="249">
        <f>สำนักปลัด!Q149+การคลัง!Q56+ส่วนโยธา!Q60+ส่วนศึกษา!Q91</f>
        <v>0</v>
      </c>
      <c r="O11" s="249">
        <f>สำนักปลัด!R149+การคลัง!R56+ส่วนโยธา!R60+ส่วนศึกษา!R91</f>
        <v>50000</v>
      </c>
      <c r="P11" s="249">
        <f>สำนักปลัด!S149+การคลัง!S56+ส่วนโยธา!S60+ส่วนศึกษา!S91</f>
        <v>3000</v>
      </c>
      <c r="Q11" s="249">
        <f t="shared" si="0"/>
        <v>344580</v>
      </c>
      <c r="R11" s="249"/>
      <c r="S11" s="437"/>
      <c r="T11" s="437"/>
    </row>
    <row r="12" spans="1:20" ht="26.25">
      <c r="A12" s="235" t="s">
        <v>99</v>
      </c>
      <c r="B12" s="238"/>
      <c r="C12" s="249"/>
      <c r="D12" s="248" t="s">
        <v>106</v>
      </c>
      <c r="E12" s="249">
        <f>สำนักปลัด!H151+สำนักปลัด!H152+ส่วนโยธา!H83+ส่วนศึกษา!H93+ส่วนศึกษา!H94</f>
        <v>0</v>
      </c>
      <c r="F12" s="249">
        <f>สำนักปลัด!I151+สำนักปลัด!I152+ส่วนโยธา!I83+ส่วนศึกษา!I93+ส่วนศึกษา!I94</f>
        <v>0</v>
      </c>
      <c r="G12" s="249">
        <f>สำนักปลัด!J151+สำนักปลัด!J152+ส่วนโยธา!J83+ส่วนศึกษา!J93+ส่วนศึกษา!J94</f>
        <v>0</v>
      </c>
      <c r="H12" s="249">
        <f>สำนักปลัด!K151+สำนักปลัด!K152+ส่วนโยธา!K83+ส่วนศึกษา!K93+ส่วนศึกษา!K94</f>
        <v>403300</v>
      </c>
      <c r="I12" s="249">
        <f>สำนักปลัด!L151+สำนักปลัด!L152+ส่วนโยธา!L83+ส่วนศึกษา!L93+ส่วนศึกษา!L94</f>
        <v>287000</v>
      </c>
      <c r="J12" s="249">
        <f>สำนักปลัด!M151+สำนักปลัด!M152+ส่วนโยธา!M83+ส่วนศึกษา!M93+ส่วนศึกษา!M94</f>
        <v>9500</v>
      </c>
      <c r="K12" s="249">
        <f>สำนักปลัด!N151+สำนักปลัด!N152+ส่วนโยธา!N83+ส่วนศึกษา!N93+ส่วนศึกษา!N94</f>
        <v>88000</v>
      </c>
      <c r="L12" s="249">
        <f>สำนักปลัด!O151+สำนักปลัด!O152+ส่วนโยธา!O83+ส่วนศึกษา!O93+ส่วนศึกษา!O94</f>
        <v>0</v>
      </c>
      <c r="M12" s="249">
        <f>สำนักปลัด!P151+สำนักปลัด!P152+ส่วนโยธา!P83+ส่วนศึกษา!P93+ส่วนศึกษา!P94</f>
        <v>0</v>
      </c>
      <c r="N12" s="249">
        <f>สำนักปลัด!Q151+สำนักปลัด!Q152+ส่วนโยธา!Q83+ส่วนศึกษา!Q93+ส่วนศึกษา!Q94</f>
        <v>397000</v>
      </c>
      <c r="O12" s="249">
        <f>สำนักปลัด!R151+สำนักปลัด!R152+ส่วนโยธา!R83+ส่วนศึกษา!R93+ส่วนศึกษา!R94</f>
        <v>0</v>
      </c>
      <c r="P12" s="249">
        <f>สำนักปลัด!S151+สำนักปลัด!S152+ส่วนโยธา!S83+ส่วนศึกษา!S93+ส่วนศึกษา!S94</f>
        <v>969000</v>
      </c>
      <c r="Q12" s="249">
        <f t="shared" si="0"/>
        <v>2153800</v>
      </c>
      <c r="R12" s="249"/>
      <c r="S12" s="437"/>
      <c r="T12" s="437"/>
    </row>
    <row r="13" spans="3:20" ht="23.25">
      <c r="C13" s="249"/>
      <c r="D13" s="248" t="s">
        <v>107</v>
      </c>
      <c r="E13" s="249">
        <f>สำนักปลัด!H165</f>
        <v>0</v>
      </c>
      <c r="F13" s="249">
        <f>สำนักปลัด!I165</f>
        <v>0</v>
      </c>
      <c r="G13" s="249">
        <f>สำนักปลัด!J165</f>
        <v>0</v>
      </c>
      <c r="H13" s="249">
        <f>สำนักปลัด!K165</f>
        <v>0</v>
      </c>
      <c r="I13" s="249">
        <f>สำนักปลัด!L165</f>
        <v>0</v>
      </c>
      <c r="J13" s="249">
        <f>สำนักปลัด!M165</f>
        <v>0</v>
      </c>
      <c r="K13" s="249">
        <f>สำนักปลัด!N165</f>
        <v>0</v>
      </c>
      <c r="L13" s="249">
        <f>สำนักปลัด!O165</f>
        <v>0</v>
      </c>
      <c r="M13" s="249">
        <f>สำนักปลัด!P165</f>
        <v>0</v>
      </c>
      <c r="N13" s="249">
        <f>สำนักปลัด!Q165</f>
        <v>0</v>
      </c>
      <c r="O13" s="249">
        <f>สำนักปลัด!R165</f>
        <v>0</v>
      </c>
      <c r="P13" s="249">
        <f>สำนักปลัด!S165</f>
        <v>18000</v>
      </c>
      <c r="Q13" s="249">
        <f t="shared" si="0"/>
        <v>18000</v>
      </c>
      <c r="R13" s="249"/>
      <c r="S13" s="248"/>
      <c r="T13" s="437"/>
    </row>
    <row r="14" spans="3:20" ht="23.25">
      <c r="C14" s="305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305"/>
      <c r="O14" s="249"/>
      <c r="P14" s="249"/>
      <c r="Q14" s="249">
        <f>SUM(Q3:Q13)</f>
        <v>22019633.689999998</v>
      </c>
      <c r="R14" s="249"/>
      <c r="S14" s="438"/>
      <c r="T14" s="249"/>
    </row>
    <row r="15" spans="3:20" ht="23.25">
      <c r="C15" s="249"/>
      <c r="G15" s="249"/>
      <c r="H15" s="249"/>
      <c r="I15" s="249"/>
      <c r="K15" s="249"/>
      <c r="M15" s="249"/>
      <c r="Q15" s="249"/>
      <c r="T15" s="249"/>
    </row>
    <row r="16" spans="5:18" ht="23.25">
      <c r="E16" s="249"/>
      <c r="F16" s="249"/>
      <c r="G16" s="249"/>
      <c r="H16" s="249"/>
      <c r="I16" s="249"/>
      <c r="J16" s="249"/>
      <c r="K16" s="249"/>
      <c r="L16" s="249"/>
      <c r="M16" s="249"/>
      <c r="Q16" s="249"/>
      <c r="R16" s="249"/>
    </row>
    <row r="17" spans="5:17" ht="23.25">
      <c r="E17" s="249"/>
      <c r="F17" s="249"/>
      <c r="G17" s="249"/>
      <c r="H17" s="249"/>
      <c r="I17" s="249"/>
      <c r="J17" s="249"/>
      <c r="K17" s="249"/>
      <c r="Q17" s="249"/>
    </row>
    <row r="18" spans="5:18" ht="23.25">
      <c r="E18" s="249"/>
      <c r="F18" s="249"/>
      <c r="G18" s="249"/>
      <c r="H18" s="249"/>
      <c r="I18" s="249"/>
      <c r="J18" s="249"/>
      <c r="K18" s="249"/>
      <c r="L18" s="249"/>
      <c r="M18" s="249"/>
      <c r="Q18" s="249"/>
      <c r="R18" s="249"/>
    </row>
    <row r="19" spans="8:17" ht="23.25">
      <c r="H19" s="249"/>
      <c r="Q19" s="249"/>
    </row>
    <row r="20" spans="17:18" ht="23.25">
      <c r="Q20" s="249"/>
      <c r="R20" s="249"/>
    </row>
    <row r="21" spans="7:17" ht="23.25">
      <c r="G21" s="249"/>
      <c r="Q21" s="249"/>
    </row>
    <row r="22" ht="23.25">
      <c r="F22" s="249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23" sqref="J23"/>
    </sheetView>
  </sheetViews>
  <sheetFormatPr defaultColWidth="9.140625" defaultRowHeight="23.25"/>
  <cols>
    <col min="1" max="1" width="16.8515625" style="0" customWidth="1"/>
    <col min="2" max="5" width="14.8515625" style="0" customWidth="1"/>
    <col min="6" max="6" width="15.7109375" style="0" customWidth="1"/>
    <col min="9" max="9" width="12.7109375" style="0" bestFit="1" customWidth="1"/>
  </cols>
  <sheetData>
    <row r="1" spans="1:6" ht="26.25">
      <c r="A1" s="655" t="s">
        <v>593</v>
      </c>
      <c r="B1" s="655"/>
      <c r="C1" s="655"/>
      <c r="D1" s="655"/>
      <c r="E1" s="655"/>
      <c r="F1" s="655"/>
    </row>
    <row r="2" spans="1:6" ht="26.25">
      <c r="A2" s="771" t="s">
        <v>594</v>
      </c>
      <c r="B2" s="771"/>
      <c r="C2" s="771"/>
      <c r="D2" s="771"/>
      <c r="E2" s="771"/>
      <c r="F2" s="771"/>
    </row>
    <row r="3" spans="1:6" ht="23.25">
      <c r="A3" s="526" t="s">
        <v>4</v>
      </c>
      <c r="B3" s="651" t="s">
        <v>71</v>
      </c>
      <c r="C3" s="651" t="s">
        <v>587</v>
      </c>
      <c r="D3" s="651" t="s">
        <v>2</v>
      </c>
      <c r="E3" s="651" t="s">
        <v>3</v>
      </c>
      <c r="F3" s="548" t="s">
        <v>0</v>
      </c>
    </row>
    <row r="4" spans="1:6" ht="23.25">
      <c r="A4" s="652" t="s">
        <v>588</v>
      </c>
      <c r="B4" s="653">
        <f>'สำนักปลัด (3)'!C7+'สำนักปลัด (3)'!C8+'สำนักปลัด (3)'!C9+'สำนักปลัด (3)'!C10+'สำนักปลัด (3)'!C11+'สำนักปลัด (3)'!C13+'สำนักปลัด (3)'!C14+'สำนักปลัด (3)'!C15</f>
        <v>4654102</v>
      </c>
      <c r="C4" s="653">
        <f>'การคลัง (3)'!C9</f>
        <v>1042400</v>
      </c>
      <c r="D4" s="653">
        <f>'ส่วนโยธา (3)'!C9</f>
        <v>617040</v>
      </c>
      <c r="E4" s="653">
        <f>'ส่วนศึกษา (3)'!C10</f>
        <v>459107</v>
      </c>
      <c r="F4" s="653">
        <f>B4+C4+D4+E4</f>
        <v>6772649</v>
      </c>
    </row>
    <row r="5" spans="1:9" ht="23.25">
      <c r="A5" s="652" t="s">
        <v>535</v>
      </c>
      <c r="B5" s="653">
        <f>'สำนักปลัด (3)'!C16+'สำนักปลัด (3)'!C17</f>
        <v>598260</v>
      </c>
      <c r="C5" s="653">
        <f>'การคลัง (3)'!C14</f>
        <v>159420</v>
      </c>
      <c r="D5" s="653">
        <v>0</v>
      </c>
      <c r="E5" s="653">
        <f>'ส่วนศึกษา (3)'!C15</f>
        <v>159420</v>
      </c>
      <c r="F5" s="653">
        <f aca="true" t="shared" si="0" ref="F5:F14">B5+C5+D5+E5</f>
        <v>917100</v>
      </c>
      <c r="I5" s="249"/>
    </row>
    <row r="6" spans="1:8" ht="23.25">
      <c r="A6" s="652" t="s">
        <v>93</v>
      </c>
      <c r="B6" s="653">
        <f>'สำนักปลัด (3)'!C25</f>
        <v>783721.75</v>
      </c>
      <c r="C6" s="653">
        <f>'การคลัง (3)'!C20</f>
        <v>130600</v>
      </c>
      <c r="D6" s="653">
        <f>'ส่วนโยธา (3)'!C15</f>
        <v>98215</v>
      </c>
      <c r="E6" s="653">
        <f>'ส่วนศึกษา (3)'!C19</f>
        <v>26890</v>
      </c>
      <c r="F6" s="653">
        <f t="shared" si="0"/>
        <v>1039426.75</v>
      </c>
      <c r="H6" s="249"/>
    </row>
    <row r="7" spans="1:9" ht="23.25">
      <c r="A7" s="652" t="s">
        <v>23</v>
      </c>
      <c r="B7" s="653">
        <f>'สำนักปลัด (3)'!C89</f>
        <v>1885821.38</v>
      </c>
      <c r="C7" s="653">
        <f>'การคลัง (3)'!C32</f>
        <v>153610</v>
      </c>
      <c r="D7" s="653">
        <f>'ส่วนโยธา (3)'!C25</f>
        <v>122527</v>
      </c>
      <c r="E7" s="653">
        <f>'ส่วนศึกษา (3)'!C52</f>
        <v>476066.34</v>
      </c>
      <c r="F7" s="653">
        <f t="shared" si="0"/>
        <v>2638024.7199999997</v>
      </c>
      <c r="H7" s="249"/>
      <c r="I7" s="249"/>
    </row>
    <row r="8" spans="1:9" ht="23.25">
      <c r="A8" s="652" t="s">
        <v>17</v>
      </c>
      <c r="B8" s="653">
        <f>'สำนักปลัด (3)'!C102</f>
        <v>283744</v>
      </c>
      <c r="C8" s="653">
        <f>'การคลัง (3)'!C36</f>
        <v>44646</v>
      </c>
      <c r="D8" s="653">
        <f>'ส่วนโยธา (3)'!C31</f>
        <v>123907.2</v>
      </c>
      <c r="E8" s="653">
        <f>'ส่วนศึกษา (3)'!C61</f>
        <v>329392.62</v>
      </c>
      <c r="F8" s="653">
        <f t="shared" si="0"/>
        <v>781689.8200000001</v>
      </c>
      <c r="I8" s="249"/>
    </row>
    <row r="9" spans="1:8" ht="23.25">
      <c r="A9" s="652" t="s">
        <v>103</v>
      </c>
      <c r="B9" s="653">
        <f>'สำนักปลัด (3)'!C109</f>
        <v>171102.40000000002</v>
      </c>
      <c r="C9" s="653">
        <v>0</v>
      </c>
      <c r="D9" s="653">
        <v>0</v>
      </c>
      <c r="E9" s="653">
        <v>0</v>
      </c>
      <c r="F9" s="653">
        <f t="shared" si="0"/>
        <v>171102.40000000002</v>
      </c>
      <c r="H9" s="249"/>
    </row>
    <row r="10" spans="1:6" ht="23.25">
      <c r="A10" s="652" t="s">
        <v>589</v>
      </c>
      <c r="B10" s="653">
        <f>'สำนักปลัด (3)'!C124</f>
        <v>11000</v>
      </c>
      <c r="C10" s="653">
        <v>0</v>
      </c>
      <c r="D10" s="653">
        <v>0</v>
      </c>
      <c r="E10" s="653">
        <f>'ส่วนศึกษา (3)'!C66</f>
        <v>398000</v>
      </c>
      <c r="F10" s="653">
        <f t="shared" si="0"/>
        <v>409000</v>
      </c>
    </row>
    <row r="11" spans="1:6" ht="23.25">
      <c r="A11" s="652" t="s">
        <v>590</v>
      </c>
      <c r="B11" s="653">
        <f>'สำนักปลัด (3)'!C120</f>
        <v>33880</v>
      </c>
      <c r="C11" s="653">
        <f>'การคลัง (3)'!C39</f>
        <v>0</v>
      </c>
      <c r="D11" s="653">
        <f>'ส่วนโยธา (3)'!C40</f>
        <v>310700</v>
      </c>
      <c r="E11" s="653">
        <v>0</v>
      </c>
      <c r="F11" s="653">
        <f t="shared" si="0"/>
        <v>344580</v>
      </c>
    </row>
    <row r="12" spans="1:8" ht="23.25">
      <c r="A12" s="652" t="s">
        <v>54</v>
      </c>
      <c r="B12" s="653">
        <f>'งบกลาง (3)'!C15</f>
        <v>6774261</v>
      </c>
      <c r="C12" s="653">
        <v>0</v>
      </c>
      <c r="D12" s="653">
        <v>0</v>
      </c>
      <c r="E12" s="653">
        <v>0</v>
      </c>
      <c r="F12" s="653">
        <f t="shared" si="0"/>
        <v>6774261</v>
      </c>
      <c r="G12" s="249"/>
      <c r="H12" s="249"/>
    </row>
    <row r="13" spans="1:8" ht="23.25">
      <c r="A13" s="4" t="s">
        <v>106</v>
      </c>
      <c r="B13" s="653">
        <v>0</v>
      </c>
      <c r="C13" s="653">
        <v>0</v>
      </c>
      <c r="D13" s="653">
        <f>'ส่วนโยธา (3)'!C60</f>
        <v>2153800</v>
      </c>
      <c r="E13" s="653">
        <v>0</v>
      </c>
      <c r="F13" s="653">
        <f t="shared" si="0"/>
        <v>2153800</v>
      </c>
      <c r="H13" s="249"/>
    </row>
    <row r="14" spans="1:6" ht="23.25">
      <c r="A14" s="652" t="s">
        <v>591</v>
      </c>
      <c r="B14" s="653">
        <f>'สำนักปลัด (3)'!C125</f>
        <v>18000</v>
      </c>
      <c r="C14" s="653">
        <v>0</v>
      </c>
      <c r="D14" s="653">
        <v>0</v>
      </c>
      <c r="E14" s="653">
        <v>0</v>
      </c>
      <c r="F14" s="653">
        <f t="shared" si="0"/>
        <v>18000</v>
      </c>
    </row>
    <row r="15" spans="1:6" ht="23.25">
      <c r="A15" s="548" t="s">
        <v>0</v>
      </c>
      <c r="B15" s="654">
        <f>SUM(B4:B14)</f>
        <v>15213892.530000001</v>
      </c>
      <c r="C15" s="654">
        <f>SUM(C4:C14)</f>
        <v>1530676</v>
      </c>
      <c r="D15" s="654">
        <f>SUM(D4:D14)</f>
        <v>3426189.2</v>
      </c>
      <c r="E15" s="654">
        <f>SUM(E4:E14)</f>
        <v>1848875.96</v>
      </c>
      <c r="F15" s="654">
        <f>SUM(F4:F14)</f>
        <v>22019633.689999998</v>
      </c>
    </row>
    <row r="16" spans="1:8" ht="23.25">
      <c r="A16" s="562"/>
      <c r="B16" s="560"/>
      <c r="C16" s="560"/>
      <c r="D16" s="560"/>
      <c r="E16" s="560"/>
      <c r="F16" s="560"/>
      <c r="H16" s="249"/>
    </row>
    <row r="17" spans="1:6" ht="23.25">
      <c r="A17" s="772" t="s">
        <v>592</v>
      </c>
      <c r="B17" s="772"/>
      <c r="C17" s="772"/>
      <c r="D17" s="772"/>
      <c r="E17" s="772"/>
      <c r="F17" s="772"/>
    </row>
    <row r="18" spans="1:6" ht="23.25">
      <c r="A18" s="526" t="s">
        <v>4</v>
      </c>
      <c r="B18" s="651" t="s">
        <v>71</v>
      </c>
      <c r="C18" s="651" t="s">
        <v>587</v>
      </c>
      <c r="D18" s="651" t="s">
        <v>2</v>
      </c>
      <c r="E18" s="651" t="s">
        <v>3</v>
      </c>
      <c r="F18" s="548" t="s">
        <v>0</v>
      </c>
    </row>
    <row r="19" spans="1:6" ht="23.25">
      <c r="A19" s="652" t="s">
        <v>106</v>
      </c>
      <c r="B19" s="653">
        <v>0</v>
      </c>
      <c r="C19" s="653">
        <v>0</v>
      </c>
      <c r="D19" s="653">
        <f>'จ่ายขาดเงินสะสม (3)'!C26</f>
        <v>360000</v>
      </c>
      <c r="E19" s="653">
        <v>0</v>
      </c>
      <c r="F19" s="654">
        <f>B19+C19+D19+E19</f>
        <v>360000</v>
      </c>
    </row>
    <row r="20" spans="1:6" ht="23.25">
      <c r="A20" s="548" t="s">
        <v>0</v>
      </c>
      <c r="B20" s="654">
        <f>SUM(B19:B19)</f>
        <v>0</v>
      </c>
      <c r="C20" s="654">
        <f>SUM(C19:C19)</f>
        <v>0</v>
      </c>
      <c r="D20" s="654">
        <f>SUM(D19:D19)</f>
        <v>360000</v>
      </c>
      <c r="E20" s="654">
        <f>SUM(E19:E19)</f>
        <v>0</v>
      </c>
      <c r="F20" s="654">
        <f>SUM(F19:F19)</f>
        <v>360000</v>
      </c>
    </row>
  </sheetData>
  <sheetProtection/>
  <mergeCells count="3">
    <mergeCell ref="A1:F1"/>
    <mergeCell ref="A2:F2"/>
    <mergeCell ref="A17:F1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189"/>
  <sheetViews>
    <sheetView zoomScaleSheetLayoutView="90" zoomScalePageLayoutView="0" workbookViewId="0" topLeftCell="A1">
      <pane xSplit="7" ySplit="3" topLeftCell="P16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9" sqref="A9"/>
    </sheetView>
  </sheetViews>
  <sheetFormatPr defaultColWidth="9.140625" defaultRowHeight="23.25"/>
  <cols>
    <col min="1" max="1" width="42.00390625" style="29" customWidth="1"/>
    <col min="2" max="2" width="4.8515625" style="29" customWidth="1"/>
    <col min="3" max="3" width="9.57421875" style="29" customWidth="1"/>
    <col min="4" max="4" width="10.28125" style="29" customWidth="1"/>
    <col min="5" max="5" width="8.8515625" style="29" customWidth="1"/>
    <col min="6" max="6" width="9.00390625" style="29" customWidth="1"/>
    <col min="7" max="7" width="10.421875" style="373" customWidth="1"/>
    <col min="8" max="12" width="9.00390625" style="29" customWidth="1"/>
    <col min="13" max="13" width="9.57421875" style="29" customWidth="1"/>
    <col min="14" max="18" width="9.00390625" style="29" customWidth="1"/>
    <col min="19" max="19" width="9.57421875" style="29" customWidth="1"/>
    <col min="20" max="20" width="10.57421875" style="373" customWidth="1"/>
    <col min="21" max="21" width="10.00390625" style="373" customWidth="1"/>
    <col min="22" max="22" width="9.8515625" style="29" bestFit="1" customWidth="1"/>
    <col min="23" max="16384" width="9.140625" style="29" customWidth="1"/>
  </cols>
  <sheetData>
    <row r="1" spans="1:21" ht="21" customHeight="1">
      <c r="A1" s="658" t="s">
        <v>489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</row>
    <row r="2" spans="1:21" s="142" customFormat="1" ht="21" customHeight="1">
      <c r="A2" s="659" t="s">
        <v>4</v>
      </c>
      <c r="B2" s="119"/>
      <c r="C2" s="711" t="s">
        <v>1</v>
      </c>
      <c r="D2" s="712"/>
      <c r="E2" s="124" t="s">
        <v>9</v>
      </c>
      <c r="F2" s="120" t="s">
        <v>9</v>
      </c>
      <c r="G2" s="363" t="s">
        <v>25</v>
      </c>
      <c r="H2" s="120" t="s">
        <v>26</v>
      </c>
      <c r="I2" s="120" t="s">
        <v>27</v>
      </c>
      <c r="J2" s="121" t="s">
        <v>28</v>
      </c>
      <c r="K2" s="120" t="s">
        <v>29</v>
      </c>
      <c r="L2" s="120" t="s">
        <v>30</v>
      </c>
      <c r="M2" s="120" t="s">
        <v>31</v>
      </c>
      <c r="N2" s="120" t="s">
        <v>32</v>
      </c>
      <c r="O2" s="120" t="s">
        <v>33</v>
      </c>
      <c r="P2" s="120" t="s">
        <v>34</v>
      </c>
      <c r="Q2" s="120" t="s">
        <v>35</v>
      </c>
      <c r="R2" s="120" t="s">
        <v>36</v>
      </c>
      <c r="S2" s="120" t="s">
        <v>37</v>
      </c>
      <c r="T2" s="364" t="s">
        <v>25</v>
      </c>
      <c r="U2" s="365" t="s">
        <v>6</v>
      </c>
    </row>
    <row r="3" spans="1:21" s="142" customFormat="1" ht="21" customHeight="1">
      <c r="A3" s="660"/>
      <c r="B3" s="92" t="s">
        <v>8</v>
      </c>
      <c r="C3" s="101" t="s">
        <v>9</v>
      </c>
      <c r="D3" s="94" t="s">
        <v>53</v>
      </c>
      <c r="E3" s="126" t="s">
        <v>10</v>
      </c>
      <c r="F3" s="95" t="s">
        <v>11</v>
      </c>
      <c r="G3" s="361"/>
      <c r="H3" s="182"/>
      <c r="I3" s="182"/>
      <c r="J3" s="172"/>
      <c r="K3" s="182"/>
      <c r="L3" s="182"/>
      <c r="M3" s="182"/>
      <c r="N3" s="182"/>
      <c r="O3" s="182"/>
      <c r="P3" s="182"/>
      <c r="Q3" s="182"/>
      <c r="R3" s="182"/>
      <c r="S3" s="182"/>
      <c r="T3" s="122"/>
      <c r="U3" s="128" t="s">
        <v>5</v>
      </c>
    </row>
    <row r="4" spans="1:21" s="142" customFormat="1" ht="21" customHeight="1">
      <c r="A4" s="7" t="s">
        <v>198</v>
      </c>
      <c r="B4" s="8"/>
      <c r="C4" s="706">
        <f>C7+C22+C117+C129+C155+D165</f>
        <v>8853350</v>
      </c>
      <c r="D4" s="707"/>
      <c r="E4" s="126"/>
      <c r="F4" s="95"/>
      <c r="G4" s="361"/>
      <c r="H4" s="182"/>
      <c r="I4" s="190"/>
      <c r="J4" s="172"/>
      <c r="K4" s="182"/>
      <c r="L4" s="182"/>
      <c r="M4" s="182"/>
      <c r="N4" s="182"/>
      <c r="O4" s="182"/>
      <c r="P4" s="182"/>
      <c r="Q4" s="182"/>
      <c r="R4" s="182"/>
      <c r="S4" s="182"/>
      <c r="T4" s="122"/>
      <c r="U4" s="128"/>
    </row>
    <row r="5" spans="1:21" ht="21" customHeight="1">
      <c r="A5" s="7" t="s">
        <v>22</v>
      </c>
      <c r="B5" s="8"/>
      <c r="C5" s="706"/>
      <c r="D5" s="707"/>
      <c r="E5" s="14"/>
      <c r="F5" s="14"/>
      <c r="G5" s="366"/>
      <c r="H5" s="367"/>
      <c r="I5" s="368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14"/>
      <c r="U5" s="369"/>
    </row>
    <row r="6" spans="1:21" ht="21" customHeight="1">
      <c r="A6" s="12" t="s">
        <v>19</v>
      </c>
      <c r="B6" s="370"/>
      <c r="C6" s="371"/>
      <c r="D6" s="335"/>
      <c r="E6" s="14"/>
      <c r="F6" s="14"/>
      <c r="G6" s="366"/>
      <c r="H6" s="15"/>
      <c r="I6" s="372"/>
      <c r="J6" s="15"/>
      <c r="K6" s="15"/>
      <c r="L6" s="15"/>
      <c r="M6" s="15"/>
      <c r="N6" s="15"/>
      <c r="O6" s="15"/>
      <c r="P6" s="15"/>
      <c r="Q6" s="15"/>
      <c r="R6" s="15"/>
      <c r="S6" s="15"/>
      <c r="U6" s="374"/>
    </row>
    <row r="7" spans="1:21" ht="21" customHeight="1">
      <c r="A7" s="7" t="s">
        <v>15</v>
      </c>
      <c r="B7" s="8"/>
      <c r="C7" s="668">
        <f>C8</f>
        <v>5643550</v>
      </c>
      <c r="D7" s="669"/>
      <c r="E7" s="14"/>
      <c r="F7" s="14"/>
      <c r="G7" s="366"/>
      <c r="H7" s="15"/>
      <c r="I7" s="372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374"/>
    </row>
    <row r="8" spans="1:21" ht="18">
      <c r="A8" s="7" t="s">
        <v>56</v>
      </c>
      <c r="B8" s="115"/>
      <c r="C8" s="713">
        <f>C9+C15</f>
        <v>5643550</v>
      </c>
      <c r="D8" s="714"/>
      <c r="E8" s="14"/>
      <c r="F8" s="14"/>
      <c r="G8" s="366"/>
      <c r="H8" s="15"/>
      <c r="I8" s="372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374"/>
    </row>
    <row r="9" spans="1:21" ht="23.25" customHeight="1">
      <c r="A9" s="7" t="s">
        <v>132</v>
      </c>
      <c r="B9" s="279" t="s">
        <v>133</v>
      </c>
      <c r="C9" s="702">
        <f>D10+D11+D12+D13+D14</f>
        <v>2484720</v>
      </c>
      <c r="D9" s="703"/>
      <c r="E9" s="14"/>
      <c r="F9" s="14"/>
      <c r="G9" s="366"/>
      <c r="H9" s="15"/>
      <c r="I9" s="372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374"/>
    </row>
    <row r="10" spans="1:22" ht="21" customHeight="1">
      <c r="A10" s="30" t="s">
        <v>48</v>
      </c>
      <c r="B10" s="279" t="s">
        <v>123</v>
      </c>
      <c r="C10" s="8"/>
      <c r="D10" s="36">
        <v>514080</v>
      </c>
      <c r="E10" s="37"/>
      <c r="F10" s="37"/>
      <c r="G10" s="37">
        <f>+D10+E10-F10</f>
        <v>514080</v>
      </c>
      <c r="H10" s="26">
        <v>42840</v>
      </c>
      <c r="I10" s="26">
        <v>42840</v>
      </c>
      <c r="J10" s="26">
        <v>42840</v>
      </c>
      <c r="K10" s="26">
        <v>42840</v>
      </c>
      <c r="L10" s="26">
        <v>42840</v>
      </c>
      <c r="M10" s="26">
        <v>42840</v>
      </c>
      <c r="N10" s="26">
        <v>42840</v>
      </c>
      <c r="O10" s="26">
        <v>42840</v>
      </c>
      <c r="P10" s="26">
        <v>42840</v>
      </c>
      <c r="Q10" s="26">
        <v>42840</v>
      </c>
      <c r="R10" s="26">
        <v>42840</v>
      </c>
      <c r="S10" s="26">
        <v>42840</v>
      </c>
      <c r="T10" s="135">
        <f aca="true" t="shared" si="0" ref="T10:T18">SUM(H10:S10)</f>
        <v>514080</v>
      </c>
      <c r="U10" s="135">
        <f aca="true" t="shared" si="1" ref="U10:U18">+G10-T10</f>
        <v>0</v>
      </c>
      <c r="V10" s="375"/>
    </row>
    <row r="11" spans="1:21" ht="21" customHeight="1">
      <c r="A11" s="30" t="s">
        <v>124</v>
      </c>
      <c r="B11" s="279" t="s">
        <v>125</v>
      </c>
      <c r="C11" s="8"/>
      <c r="D11" s="36">
        <v>42120</v>
      </c>
      <c r="E11" s="37"/>
      <c r="F11" s="37"/>
      <c r="G11" s="37">
        <f>+D11+E11-F11</f>
        <v>42120</v>
      </c>
      <c r="H11" s="26">
        <v>3510</v>
      </c>
      <c r="I11" s="26">
        <v>3510</v>
      </c>
      <c r="J11" s="26">
        <v>3510</v>
      </c>
      <c r="K11" s="26">
        <v>3510</v>
      </c>
      <c r="L11" s="26">
        <v>3510</v>
      </c>
      <c r="M11" s="26">
        <v>3510</v>
      </c>
      <c r="N11" s="26">
        <v>3510</v>
      </c>
      <c r="O11" s="26">
        <v>3510</v>
      </c>
      <c r="P11" s="26">
        <v>3510</v>
      </c>
      <c r="Q11" s="26">
        <v>3510</v>
      </c>
      <c r="R11" s="26">
        <v>3510</v>
      </c>
      <c r="S11" s="26">
        <v>3510</v>
      </c>
      <c r="T11" s="135">
        <f t="shared" si="0"/>
        <v>42120</v>
      </c>
      <c r="U11" s="135">
        <f t="shared" si="1"/>
        <v>0</v>
      </c>
    </row>
    <row r="12" spans="1:21" ht="21" customHeight="1">
      <c r="A12" s="30" t="s">
        <v>127</v>
      </c>
      <c r="B12" s="279" t="s">
        <v>126</v>
      </c>
      <c r="C12" s="8"/>
      <c r="D12" s="36">
        <v>42120</v>
      </c>
      <c r="E12" s="37"/>
      <c r="F12" s="37"/>
      <c r="G12" s="37">
        <f>+D12+E12-F12</f>
        <v>42120</v>
      </c>
      <c r="H12" s="26">
        <v>3510</v>
      </c>
      <c r="I12" s="26">
        <v>3510</v>
      </c>
      <c r="J12" s="26">
        <v>3510</v>
      </c>
      <c r="K12" s="26">
        <v>3510</v>
      </c>
      <c r="L12" s="26">
        <v>3510</v>
      </c>
      <c r="M12" s="26">
        <v>3510</v>
      </c>
      <c r="N12" s="26">
        <v>3510</v>
      </c>
      <c r="O12" s="26">
        <v>3510</v>
      </c>
      <c r="P12" s="26">
        <v>3510</v>
      </c>
      <c r="Q12" s="26">
        <v>3510</v>
      </c>
      <c r="R12" s="26">
        <v>3510</v>
      </c>
      <c r="S12" s="26">
        <v>3510</v>
      </c>
      <c r="T12" s="135">
        <f t="shared" si="0"/>
        <v>42120</v>
      </c>
      <c r="U12" s="135">
        <f t="shared" si="1"/>
        <v>0</v>
      </c>
    </row>
    <row r="13" spans="1:21" ht="21" customHeight="1">
      <c r="A13" s="30" t="s">
        <v>128</v>
      </c>
      <c r="B13" s="279" t="s">
        <v>129</v>
      </c>
      <c r="C13" s="8"/>
      <c r="D13" s="36">
        <v>86400</v>
      </c>
      <c r="E13" s="37"/>
      <c r="F13" s="37"/>
      <c r="G13" s="37">
        <f>+D13+E13-F13</f>
        <v>86400</v>
      </c>
      <c r="H13" s="26">
        <v>7200</v>
      </c>
      <c r="I13" s="26">
        <v>7200</v>
      </c>
      <c r="J13" s="26">
        <v>7200</v>
      </c>
      <c r="K13" s="26">
        <v>7200</v>
      </c>
      <c r="L13" s="26">
        <v>7200</v>
      </c>
      <c r="M13" s="26">
        <v>7200</v>
      </c>
      <c r="N13" s="26">
        <v>7200</v>
      </c>
      <c r="O13" s="26">
        <v>7200</v>
      </c>
      <c r="P13" s="26">
        <v>7200</v>
      </c>
      <c r="Q13" s="26">
        <v>7200</v>
      </c>
      <c r="R13" s="26">
        <v>7200</v>
      </c>
      <c r="S13" s="26">
        <v>7200</v>
      </c>
      <c r="T13" s="135">
        <f t="shared" si="0"/>
        <v>86400</v>
      </c>
      <c r="U13" s="135">
        <f t="shared" si="1"/>
        <v>0</v>
      </c>
    </row>
    <row r="14" spans="1:21" ht="21" customHeight="1">
      <c r="A14" s="30" t="s">
        <v>130</v>
      </c>
      <c r="B14" s="279" t="s">
        <v>131</v>
      </c>
      <c r="C14" s="8"/>
      <c r="D14" s="36">
        <v>1800000</v>
      </c>
      <c r="E14" s="37"/>
      <c r="F14" s="37"/>
      <c r="G14" s="37">
        <f>+D14+E14-F14</f>
        <v>1800000</v>
      </c>
      <c r="H14" s="26">
        <v>150000</v>
      </c>
      <c r="I14" s="26">
        <v>150000</v>
      </c>
      <c r="J14" s="26">
        <v>150000</v>
      </c>
      <c r="K14" s="26">
        <v>150000</v>
      </c>
      <c r="L14" s="26">
        <v>150000</v>
      </c>
      <c r="M14" s="26">
        <v>150000</v>
      </c>
      <c r="N14" s="26">
        <v>150000</v>
      </c>
      <c r="O14" s="26">
        <v>150000</v>
      </c>
      <c r="P14" s="26">
        <v>150000</v>
      </c>
      <c r="Q14" s="26">
        <v>150000</v>
      </c>
      <c r="R14" s="26">
        <v>150000</v>
      </c>
      <c r="S14" s="26">
        <v>150000</v>
      </c>
      <c r="T14" s="135">
        <f t="shared" si="0"/>
        <v>1800000</v>
      </c>
      <c r="U14" s="135">
        <f t="shared" si="1"/>
        <v>0</v>
      </c>
    </row>
    <row r="15" spans="1:21" ht="21" customHeight="1">
      <c r="A15" s="7" t="s">
        <v>134</v>
      </c>
      <c r="B15" s="279" t="s">
        <v>135</v>
      </c>
      <c r="C15" s="702">
        <f>D16+D17+D18+D19+D20</f>
        <v>3158830</v>
      </c>
      <c r="D15" s="703"/>
      <c r="E15" s="376"/>
      <c r="F15" s="37"/>
      <c r="G15" s="3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35"/>
      <c r="U15" s="135"/>
    </row>
    <row r="16" spans="1:23" ht="21" customHeight="1">
      <c r="A16" s="30" t="s">
        <v>72</v>
      </c>
      <c r="B16" s="279" t="s">
        <v>136</v>
      </c>
      <c r="C16" s="8"/>
      <c r="D16" s="23">
        <v>2348270</v>
      </c>
      <c r="E16" s="37"/>
      <c r="F16" s="37">
        <f>14500+340000</f>
        <v>354500</v>
      </c>
      <c r="G16" s="37">
        <f>+D16+E16-F16</f>
        <v>1993770</v>
      </c>
      <c r="H16" s="26">
        <v>170440</v>
      </c>
      <c r="I16" s="26">
        <v>170440</v>
      </c>
      <c r="J16" s="26">
        <v>148940</v>
      </c>
      <c r="K16" s="26">
        <v>148940</v>
      </c>
      <c r="L16" s="26">
        <v>160450</v>
      </c>
      <c r="M16" s="26">
        <v>160450</v>
      </c>
      <c r="N16" s="26">
        <v>164200</v>
      </c>
      <c r="O16" s="26">
        <v>164200</v>
      </c>
      <c r="P16" s="26">
        <v>164200</v>
      </c>
      <c r="Q16" s="26">
        <v>164322</v>
      </c>
      <c r="R16" s="26">
        <f>164300</f>
        <v>164300</v>
      </c>
      <c r="S16" s="26">
        <f>164300</f>
        <v>164300</v>
      </c>
      <c r="T16" s="135">
        <f t="shared" si="0"/>
        <v>1945182</v>
      </c>
      <c r="U16" s="135">
        <f t="shared" si="1"/>
        <v>48588</v>
      </c>
      <c r="W16" s="375"/>
    </row>
    <row r="17" spans="1:21" ht="21" customHeight="1">
      <c r="A17" s="30" t="s">
        <v>330</v>
      </c>
      <c r="B17" s="279" t="s">
        <v>329</v>
      </c>
      <c r="C17" s="8"/>
      <c r="D17" s="23">
        <v>84000</v>
      </c>
      <c r="E17" s="37">
        <v>14500</v>
      </c>
      <c r="F17" s="37"/>
      <c r="G17" s="37">
        <f>+D17+E17-F17</f>
        <v>98500</v>
      </c>
      <c r="H17" s="26">
        <v>7000</v>
      </c>
      <c r="I17" s="26">
        <v>7000</v>
      </c>
      <c r="J17" s="26">
        <v>7000</v>
      </c>
      <c r="K17" s="26">
        <v>7000</v>
      </c>
      <c r="L17" s="26">
        <v>7000</v>
      </c>
      <c r="M17" s="26">
        <f>1775+1775+7000</f>
        <v>10550</v>
      </c>
      <c r="N17" s="26">
        <f aca="true" t="shared" si="2" ref="N17:S17">1775+7000</f>
        <v>8775</v>
      </c>
      <c r="O17" s="26">
        <f t="shared" si="2"/>
        <v>8775</v>
      </c>
      <c r="P17" s="26">
        <f t="shared" si="2"/>
        <v>8775</v>
      </c>
      <c r="Q17" s="26">
        <f t="shared" si="2"/>
        <v>8775</v>
      </c>
      <c r="R17" s="26">
        <f t="shared" si="2"/>
        <v>8775</v>
      </c>
      <c r="S17" s="26">
        <f t="shared" si="2"/>
        <v>8775</v>
      </c>
      <c r="T17" s="135">
        <f>SUM(H17:S17)</f>
        <v>98200</v>
      </c>
      <c r="U17" s="135">
        <f>+G17-T17</f>
        <v>300</v>
      </c>
    </row>
    <row r="18" spans="1:21" ht="21" customHeight="1">
      <c r="A18" s="10" t="s">
        <v>73</v>
      </c>
      <c r="B18" s="279" t="s">
        <v>138</v>
      </c>
      <c r="C18" s="377"/>
      <c r="D18" s="23">
        <v>126000</v>
      </c>
      <c r="E18" s="23"/>
      <c r="F18" s="23"/>
      <c r="G18" s="37">
        <f>+D18+E18-F18</f>
        <v>126000</v>
      </c>
      <c r="H18" s="26">
        <v>10500</v>
      </c>
      <c r="I18" s="26">
        <v>10500</v>
      </c>
      <c r="J18" s="26">
        <v>10500</v>
      </c>
      <c r="K18" s="26">
        <v>10500</v>
      </c>
      <c r="L18" s="26">
        <v>10500</v>
      </c>
      <c r="M18" s="26">
        <v>10500</v>
      </c>
      <c r="N18" s="26">
        <v>10500</v>
      </c>
      <c r="O18" s="26">
        <v>10500</v>
      </c>
      <c r="P18" s="26">
        <v>10500</v>
      </c>
      <c r="Q18" s="26">
        <v>10500</v>
      </c>
      <c r="R18" s="26">
        <v>10500</v>
      </c>
      <c r="S18" s="26">
        <v>10500</v>
      </c>
      <c r="T18" s="135">
        <f t="shared" si="0"/>
        <v>126000</v>
      </c>
      <c r="U18" s="135">
        <f t="shared" si="1"/>
        <v>0</v>
      </c>
    </row>
    <row r="19" spans="1:21" ht="21" customHeight="1">
      <c r="A19" s="10" t="s">
        <v>13</v>
      </c>
      <c r="B19" s="279" t="s">
        <v>139</v>
      </c>
      <c r="C19" s="378"/>
      <c r="D19" s="23">
        <v>550560</v>
      </c>
      <c r="E19" s="23"/>
      <c r="F19" s="52"/>
      <c r="G19" s="37">
        <f>+D19+E19-F19</f>
        <v>550560</v>
      </c>
      <c r="H19" s="26"/>
      <c r="I19" s="26">
        <f>45700+45700</f>
        <v>91400</v>
      </c>
      <c r="J19" s="26">
        <v>45700</v>
      </c>
      <c r="K19" s="26">
        <v>45700</v>
      </c>
      <c r="L19" s="26">
        <v>45700</v>
      </c>
      <c r="M19" s="26">
        <v>45700</v>
      </c>
      <c r="N19" s="26">
        <v>45700</v>
      </c>
      <c r="O19" s="26">
        <v>45700</v>
      </c>
      <c r="P19" s="26">
        <v>45700</v>
      </c>
      <c r="Q19" s="26">
        <v>45700</v>
      </c>
      <c r="R19" s="26">
        <v>45700</v>
      </c>
      <c r="S19" s="26">
        <v>45700</v>
      </c>
      <c r="T19" s="135">
        <f>SUM(H19:S19)</f>
        <v>548400</v>
      </c>
      <c r="U19" s="135">
        <f>G19-T19</f>
        <v>2160</v>
      </c>
    </row>
    <row r="20" spans="1:21" ht="21" customHeight="1">
      <c r="A20" s="10" t="s">
        <v>14</v>
      </c>
      <c r="B20" s="279" t="s">
        <v>140</v>
      </c>
      <c r="C20" s="18"/>
      <c r="D20" s="23">
        <v>50000</v>
      </c>
      <c r="E20" s="23"/>
      <c r="F20" s="23"/>
      <c r="G20" s="37">
        <f>+D20+E20-F20</f>
        <v>50000</v>
      </c>
      <c r="H20" s="26"/>
      <c r="I20" s="26">
        <f>4155+4155</f>
        <v>8310</v>
      </c>
      <c r="J20" s="26">
        <v>4155</v>
      </c>
      <c r="K20" s="26">
        <v>4155</v>
      </c>
      <c r="L20" s="26">
        <v>4155</v>
      </c>
      <c r="M20" s="26">
        <v>4155</v>
      </c>
      <c r="N20" s="26">
        <v>4155</v>
      </c>
      <c r="O20" s="26">
        <v>4155</v>
      </c>
      <c r="P20" s="26">
        <v>4155</v>
      </c>
      <c r="Q20" s="26">
        <v>4155</v>
      </c>
      <c r="R20" s="26">
        <v>4155</v>
      </c>
      <c r="S20" s="26">
        <v>4155</v>
      </c>
      <c r="T20" s="135">
        <f>SUM(H20:S20)</f>
        <v>49860</v>
      </c>
      <c r="U20" s="135">
        <f>G20-T20</f>
        <v>140</v>
      </c>
    </row>
    <row r="21" spans="1:21" ht="21" customHeight="1" thickBot="1">
      <c r="A21" s="10"/>
      <c r="B21" s="345"/>
      <c r="C21" s="18"/>
      <c r="D21" s="336" t="s">
        <v>0</v>
      </c>
      <c r="E21" s="23"/>
      <c r="F21" s="23"/>
      <c r="G21" s="136">
        <f>SUM(G10:G20)</f>
        <v>5303550</v>
      </c>
      <c r="H21" s="136">
        <f aca="true" t="shared" si="3" ref="H21:U21">SUM(H10:H20)</f>
        <v>395000</v>
      </c>
      <c r="I21" s="136">
        <f t="shared" si="3"/>
        <v>494710</v>
      </c>
      <c r="J21" s="136">
        <f t="shared" si="3"/>
        <v>423355</v>
      </c>
      <c r="K21" s="136">
        <f t="shared" si="3"/>
        <v>423355</v>
      </c>
      <c r="L21" s="136">
        <f t="shared" si="3"/>
        <v>434865</v>
      </c>
      <c r="M21" s="136">
        <f t="shared" si="3"/>
        <v>438415</v>
      </c>
      <c r="N21" s="136">
        <f t="shared" si="3"/>
        <v>440390</v>
      </c>
      <c r="O21" s="136">
        <f t="shared" si="3"/>
        <v>440390</v>
      </c>
      <c r="P21" s="136">
        <f t="shared" si="3"/>
        <v>440390</v>
      </c>
      <c r="Q21" s="136">
        <f t="shared" si="3"/>
        <v>440512</v>
      </c>
      <c r="R21" s="136">
        <f t="shared" si="3"/>
        <v>440490</v>
      </c>
      <c r="S21" s="136">
        <f t="shared" si="3"/>
        <v>440490</v>
      </c>
      <c r="T21" s="136">
        <f t="shared" si="3"/>
        <v>5252362</v>
      </c>
      <c r="U21" s="136">
        <f t="shared" si="3"/>
        <v>51188</v>
      </c>
    </row>
    <row r="22" spans="1:23" ht="21" customHeight="1" thickTop="1">
      <c r="A22" s="17" t="s">
        <v>222</v>
      </c>
      <c r="B22" s="379"/>
      <c r="C22" s="708">
        <f>C23+C37+C102</f>
        <v>2900000</v>
      </c>
      <c r="D22" s="709"/>
      <c r="E22" s="380"/>
      <c r="F22" s="380"/>
      <c r="G22" s="369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9"/>
      <c r="U22" s="369"/>
      <c r="W22" s="375"/>
    </row>
    <row r="23" spans="1:21" ht="21" customHeight="1">
      <c r="A23" s="17" t="s">
        <v>224</v>
      </c>
      <c r="B23" s="279" t="s">
        <v>141</v>
      </c>
      <c r="C23" s="688">
        <f>D25+D26+D27+D28+D29+D30</f>
        <v>470000</v>
      </c>
      <c r="D23" s="689"/>
      <c r="E23" s="23"/>
      <c r="F23" s="23"/>
      <c r="G23" s="13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35"/>
      <c r="U23" s="135"/>
    </row>
    <row r="24" spans="1:21" ht="21" customHeight="1">
      <c r="A24" s="17" t="s">
        <v>333</v>
      </c>
      <c r="B24" s="279"/>
      <c r="C24" s="18"/>
      <c r="D24" s="337"/>
      <c r="E24" s="23"/>
      <c r="F24" s="23"/>
      <c r="G24" s="13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35"/>
      <c r="U24" s="135"/>
    </row>
    <row r="25" spans="1:21" ht="21" customHeight="1">
      <c r="A25" s="10" t="s">
        <v>143</v>
      </c>
      <c r="B25" s="279" t="s">
        <v>142</v>
      </c>
      <c r="C25" s="18"/>
      <c r="D25" s="23">
        <v>200000</v>
      </c>
      <c r="E25" s="23">
        <v>340000</v>
      </c>
      <c r="F25" s="23"/>
      <c r="G25" s="37">
        <f aca="true" t="shared" si="4" ref="G25:G31">+D25+E25-F25</f>
        <v>540000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540000</v>
      </c>
      <c r="T25" s="135">
        <f aca="true" t="shared" si="5" ref="T25:T31">SUM(H25:S25)</f>
        <v>540000</v>
      </c>
      <c r="U25" s="135">
        <f aca="true" t="shared" si="6" ref="U25:U31">+G25-T25</f>
        <v>0</v>
      </c>
    </row>
    <row r="26" spans="1:23" ht="21" customHeight="1">
      <c r="A26" s="17" t="s">
        <v>334</v>
      </c>
      <c r="B26" s="279" t="s">
        <v>142</v>
      </c>
      <c r="C26" s="18"/>
      <c r="D26" s="23">
        <v>10000</v>
      </c>
      <c r="E26" s="23">
        <f>30000+20000</f>
        <v>50000</v>
      </c>
      <c r="F26" s="23">
        <v>0</v>
      </c>
      <c r="G26" s="37">
        <f t="shared" si="4"/>
        <v>60000</v>
      </c>
      <c r="H26" s="26">
        <v>0</v>
      </c>
      <c r="I26" s="26">
        <v>0</v>
      </c>
      <c r="J26" s="26">
        <v>0</v>
      </c>
      <c r="K26" s="26">
        <v>0</v>
      </c>
      <c r="L26" s="26">
        <v>6000</v>
      </c>
      <c r="M26" s="26">
        <v>0</v>
      </c>
      <c r="N26" s="26">
        <f>10400-7000</f>
        <v>3400</v>
      </c>
      <c r="O26" s="26">
        <v>0</v>
      </c>
      <c r="P26" s="26">
        <v>0</v>
      </c>
      <c r="Q26" s="26">
        <v>0</v>
      </c>
      <c r="R26" s="26">
        <v>0</v>
      </c>
      <c r="S26" s="26">
        <f>30600+20000</f>
        <v>50600</v>
      </c>
      <c r="T26" s="135">
        <f t="shared" si="5"/>
        <v>60000</v>
      </c>
      <c r="U26" s="135">
        <f t="shared" si="6"/>
        <v>0</v>
      </c>
      <c r="W26" s="375"/>
    </row>
    <row r="27" spans="1:23" ht="21" customHeight="1">
      <c r="A27" s="17" t="s">
        <v>335</v>
      </c>
      <c r="B27" s="279" t="s">
        <v>144</v>
      </c>
      <c r="C27" s="18"/>
      <c r="D27" s="23">
        <v>10000</v>
      </c>
      <c r="E27" s="23"/>
      <c r="F27" s="23">
        <v>10000</v>
      </c>
      <c r="G27" s="37">
        <f t="shared" si="4"/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135">
        <f t="shared" si="5"/>
        <v>0</v>
      </c>
      <c r="U27" s="135">
        <f t="shared" si="6"/>
        <v>0</v>
      </c>
      <c r="W27" s="375"/>
    </row>
    <row r="28" spans="1:23" ht="21" customHeight="1">
      <c r="A28" s="17" t="s">
        <v>336</v>
      </c>
      <c r="B28" s="279" t="s">
        <v>145</v>
      </c>
      <c r="C28" s="381"/>
      <c r="D28" s="23">
        <v>210000</v>
      </c>
      <c r="E28" s="338"/>
      <c r="F28" s="23"/>
      <c r="G28" s="37">
        <f t="shared" si="4"/>
        <v>210000</v>
      </c>
      <c r="H28" s="26">
        <v>0</v>
      </c>
      <c r="I28" s="26">
        <f>4000+3500+3000+3000+3000</f>
        <v>16500</v>
      </c>
      <c r="J28" s="26">
        <f>4000+3500+3000+3000+3000</f>
        <v>16500</v>
      </c>
      <c r="K28" s="26">
        <f>4000+3500+3000+3000</f>
        <v>13500</v>
      </c>
      <c r="L28" s="26">
        <v>13500</v>
      </c>
      <c r="M28" s="26">
        <v>13500</v>
      </c>
      <c r="N28" s="26">
        <v>13500</v>
      </c>
      <c r="O28" s="26">
        <v>13500</v>
      </c>
      <c r="P28" s="26">
        <v>13500</v>
      </c>
      <c r="Q28" s="26">
        <v>13500</v>
      </c>
      <c r="R28" s="26">
        <v>13500</v>
      </c>
      <c r="S28" s="26">
        <f>13500*2</f>
        <v>27000</v>
      </c>
      <c r="T28" s="135">
        <f t="shared" si="5"/>
        <v>168000</v>
      </c>
      <c r="U28" s="135">
        <f t="shared" si="6"/>
        <v>42000</v>
      </c>
      <c r="V28" s="375"/>
      <c r="W28" s="375"/>
    </row>
    <row r="29" spans="1:22" ht="21" customHeight="1">
      <c r="A29" s="17" t="s">
        <v>337</v>
      </c>
      <c r="B29" s="279" t="s">
        <v>146</v>
      </c>
      <c r="C29" s="381"/>
      <c r="D29" s="23">
        <v>40000</v>
      </c>
      <c r="E29" s="338"/>
      <c r="F29" s="23">
        <v>10000</v>
      </c>
      <c r="G29" s="50">
        <f t="shared" si="4"/>
        <v>30000</v>
      </c>
      <c r="H29" s="26">
        <v>0</v>
      </c>
      <c r="I29" s="26">
        <f>1328.25+2050</f>
        <v>3378.25</v>
      </c>
      <c r="J29" s="26"/>
      <c r="K29" s="26"/>
      <c r="L29" s="26"/>
      <c r="M29" s="26"/>
      <c r="N29" s="26"/>
      <c r="O29" s="26"/>
      <c r="P29" s="26">
        <f>2671.75+2915+2756.75+4000</f>
        <v>12343.5</v>
      </c>
      <c r="Q29" s="26"/>
      <c r="R29" s="26"/>
      <c r="S29" s="26">
        <v>0</v>
      </c>
      <c r="T29" s="135">
        <f t="shared" si="5"/>
        <v>15721.75</v>
      </c>
      <c r="U29" s="135">
        <f t="shared" si="6"/>
        <v>14278.25</v>
      </c>
      <c r="V29" s="375"/>
    </row>
    <row r="30" spans="1:22" ht="21" customHeight="1">
      <c r="A30" s="17" t="s">
        <v>338</v>
      </c>
      <c r="B30" s="279" t="s">
        <v>147</v>
      </c>
      <c r="C30" s="381"/>
      <c r="D30" s="338">
        <v>0</v>
      </c>
      <c r="E30" s="338"/>
      <c r="F30" s="23"/>
      <c r="G30" s="50">
        <f t="shared" si="4"/>
        <v>0</v>
      </c>
      <c r="H30" s="26">
        <v>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0</v>
      </c>
      <c r="T30" s="135">
        <f t="shared" si="5"/>
        <v>0</v>
      </c>
      <c r="U30" s="135">
        <f t="shared" si="6"/>
        <v>0</v>
      </c>
      <c r="V30" s="375"/>
    </row>
    <row r="31" spans="1:22" ht="21" customHeight="1">
      <c r="A31" s="20" t="s">
        <v>219</v>
      </c>
      <c r="B31" s="279"/>
      <c r="C31" s="381"/>
      <c r="D31" s="338"/>
      <c r="E31" s="338"/>
      <c r="F31" s="23"/>
      <c r="G31" s="50">
        <f t="shared" si="4"/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135">
        <f t="shared" si="5"/>
        <v>0</v>
      </c>
      <c r="U31" s="135">
        <f t="shared" si="6"/>
        <v>0</v>
      </c>
      <c r="V31" s="375"/>
    </row>
    <row r="32" spans="1:22" ht="21" customHeight="1" thickBot="1">
      <c r="A32" s="10"/>
      <c r="B32" s="18"/>
      <c r="C32" s="18"/>
      <c r="D32" s="336" t="s">
        <v>0</v>
      </c>
      <c r="E32" s="23"/>
      <c r="F32" s="337"/>
      <c r="G32" s="136">
        <f>SUM(G25:G31)</f>
        <v>840000</v>
      </c>
      <c r="H32" s="136">
        <f aca="true" t="shared" si="7" ref="H32:U32">SUM(H25:H31)</f>
        <v>0</v>
      </c>
      <c r="I32" s="136">
        <f t="shared" si="7"/>
        <v>19878.25</v>
      </c>
      <c r="J32" s="136">
        <f t="shared" si="7"/>
        <v>16500</v>
      </c>
      <c r="K32" s="136">
        <f t="shared" si="7"/>
        <v>13500</v>
      </c>
      <c r="L32" s="136">
        <f t="shared" si="7"/>
        <v>19500</v>
      </c>
      <c r="M32" s="136">
        <f t="shared" si="7"/>
        <v>13500</v>
      </c>
      <c r="N32" s="136">
        <f t="shared" si="7"/>
        <v>16900</v>
      </c>
      <c r="O32" s="136">
        <f t="shared" si="7"/>
        <v>13500</v>
      </c>
      <c r="P32" s="136">
        <f t="shared" si="7"/>
        <v>25843.5</v>
      </c>
      <c r="Q32" s="136">
        <f t="shared" si="7"/>
        <v>13500</v>
      </c>
      <c r="R32" s="136">
        <f t="shared" si="7"/>
        <v>13500</v>
      </c>
      <c r="S32" s="136">
        <f t="shared" si="7"/>
        <v>617600</v>
      </c>
      <c r="T32" s="136">
        <f t="shared" si="7"/>
        <v>783721.75</v>
      </c>
      <c r="U32" s="136">
        <f t="shared" si="7"/>
        <v>56278.25</v>
      </c>
      <c r="V32" s="375"/>
    </row>
    <row r="33" spans="1:22" ht="24" customHeight="1" thickTop="1">
      <c r="A33" s="710" t="s">
        <v>20</v>
      </c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0"/>
      <c r="S33" s="710"/>
      <c r="T33" s="710"/>
      <c r="U33" s="710"/>
      <c r="V33" s="375"/>
    </row>
    <row r="34" spans="1:22" ht="21" customHeight="1">
      <c r="A34" s="658" t="s">
        <v>489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375"/>
    </row>
    <row r="35" spans="1:22" s="142" customFormat="1" ht="21" customHeight="1">
      <c r="A35" s="672" t="s">
        <v>4</v>
      </c>
      <c r="B35" s="8"/>
      <c r="C35" s="680" t="s">
        <v>1</v>
      </c>
      <c r="D35" s="681"/>
      <c r="E35" s="384" t="s">
        <v>9</v>
      </c>
      <c r="F35" s="385" t="s">
        <v>9</v>
      </c>
      <c r="G35" s="141" t="s">
        <v>25</v>
      </c>
      <c r="H35" s="385" t="s">
        <v>26</v>
      </c>
      <c r="I35" s="385" t="s">
        <v>27</v>
      </c>
      <c r="J35" s="186" t="s">
        <v>28</v>
      </c>
      <c r="K35" s="385" t="s">
        <v>29</v>
      </c>
      <c r="L35" s="385" t="s">
        <v>30</v>
      </c>
      <c r="M35" s="385" t="s">
        <v>31</v>
      </c>
      <c r="N35" s="385" t="s">
        <v>32</v>
      </c>
      <c r="O35" s="385" t="s">
        <v>33</v>
      </c>
      <c r="P35" s="385" t="s">
        <v>34</v>
      </c>
      <c r="Q35" s="385" t="s">
        <v>35</v>
      </c>
      <c r="R35" s="385" t="s">
        <v>36</v>
      </c>
      <c r="S35" s="186" t="s">
        <v>37</v>
      </c>
      <c r="T35" s="386" t="s">
        <v>25</v>
      </c>
      <c r="U35" s="383" t="s">
        <v>6</v>
      </c>
      <c r="V35" s="256"/>
    </row>
    <row r="36" spans="1:22" s="142" customFormat="1" ht="21" customHeight="1" thickBot="1">
      <c r="A36" s="673"/>
      <c r="B36" s="8" t="s">
        <v>8</v>
      </c>
      <c r="C36" s="133" t="s">
        <v>9</v>
      </c>
      <c r="D36" s="117" t="s">
        <v>53</v>
      </c>
      <c r="E36" s="134" t="s">
        <v>10</v>
      </c>
      <c r="F36" s="9" t="s">
        <v>11</v>
      </c>
      <c r="G36" s="387"/>
      <c r="H36" s="148"/>
      <c r="I36" s="148"/>
      <c r="J36" s="207"/>
      <c r="K36" s="148"/>
      <c r="L36" s="148"/>
      <c r="M36" s="148"/>
      <c r="N36" s="148"/>
      <c r="O36" s="148"/>
      <c r="P36" s="148"/>
      <c r="Q36" s="148"/>
      <c r="R36" s="148"/>
      <c r="S36" s="207"/>
      <c r="T36" s="48"/>
      <c r="U36" s="388" t="s">
        <v>5</v>
      </c>
      <c r="V36" s="256"/>
    </row>
    <row r="37" spans="1:21" ht="18" customHeight="1" thickTop="1">
      <c r="A37" s="389" t="s">
        <v>223</v>
      </c>
      <c r="B37" s="279" t="s">
        <v>148</v>
      </c>
      <c r="C37" s="704">
        <f>C38+C48+C52+D99</f>
        <v>2077000</v>
      </c>
      <c r="D37" s="705"/>
      <c r="E37" s="23"/>
      <c r="F37" s="23"/>
      <c r="G37" s="1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24"/>
      <c r="U37" s="139"/>
    </row>
    <row r="38" spans="1:21" ht="18" customHeight="1">
      <c r="A38" s="17" t="s">
        <v>339</v>
      </c>
      <c r="B38" s="279" t="s">
        <v>149</v>
      </c>
      <c r="C38" s="702">
        <f>D39+D40+D41+D42+D43+D44+D45+D46+D47</f>
        <v>819000</v>
      </c>
      <c r="D38" s="703"/>
      <c r="E38" s="23"/>
      <c r="F38" s="23"/>
      <c r="G38" s="135"/>
      <c r="H38" s="390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91"/>
      <c r="T38" s="139"/>
      <c r="U38" s="392"/>
    </row>
    <row r="39" spans="1:24" ht="18" customHeight="1">
      <c r="A39" s="20" t="s">
        <v>340</v>
      </c>
      <c r="B39" s="18"/>
      <c r="C39" s="18"/>
      <c r="D39" s="23">
        <v>180000</v>
      </c>
      <c r="E39" s="23"/>
      <c r="F39" s="23">
        <v>4000</v>
      </c>
      <c r="G39" s="37">
        <f aca="true" t="shared" si="8" ref="G39:G51">+D39+E39-F39</f>
        <v>176000</v>
      </c>
      <c r="H39" s="255">
        <v>0</v>
      </c>
      <c r="I39" s="255">
        <f>700+6000+1440+4996+750+1000+1700</f>
        <v>16586</v>
      </c>
      <c r="J39" s="255">
        <f>960+6000+3078</f>
        <v>10038</v>
      </c>
      <c r="K39" s="255">
        <f>6000+3359+1620+432+648+750+300+500</f>
        <v>13609</v>
      </c>
      <c r="L39" s="255">
        <f>6000+2951+562+5400</f>
        <v>14913</v>
      </c>
      <c r="M39" s="255">
        <f>6000+5667+864</f>
        <v>12531</v>
      </c>
      <c r="N39" s="255">
        <f>6000+1116+3300</f>
        <v>10416</v>
      </c>
      <c r="O39" s="255">
        <f>6000+7992</f>
        <v>13992</v>
      </c>
      <c r="P39" s="255">
        <f>6000+2697</f>
        <v>8697</v>
      </c>
      <c r="Q39" s="255">
        <f>6000+5315</f>
        <v>11315</v>
      </c>
      <c r="R39" s="255">
        <f>6000+2324+3420</f>
        <v>11744</v>
      </c>
      <c r="S39" s="255">
        <f>6000+2830+280+5919+6000</f>
        <v>21029</v>
      </c>
      <c r="T39" s="139">
        <f>SUM(H39:S39)</f>
        <v>144870</v>
      </c>
      <c r="U39" s="135">
        <f>G39-T39</f>
        <v>31130</v>
      </c>
      <c r="V39" s="375"/>
      <c r="W39" s="375"/>
      <c r="X39" s="375"/>
    </row>
    <row r="40" spans="1:24" ht="18" customHeight="1">
      <c r="A40" s="10" t="s">
        <v>16</v>
      </c>
      <c r="B40" s="18"/>
      <c r="C40" s="18"/>
      <c r="D40" s="23">
        <v>90000</v>
      </c>
      <c r="E40" s="25"/>
      <c r="F40" s="393"/>
      <c r="G40" s="37">
        <f t="shared" si="8"/>
        <v>90000</v>
      </c>
      <c r="H40" s="255">
        <f>3900+6000</f>
        <v>9900</v>
      </c>
      <c r="I40" s="255">
        <v>0</v>
      </c>
      <c r="J40" s="255">
        <v>0</v>
      </c>
      <c r="K40" s="255">
        <v>1500</v>
      </c>
      <c r="L40" s="255">
        <f>7800+3200</f>
        <v>11000</v>
      </c>
      <c r="M40" s="255">
        <v>0</v>
      </c>
      <c r="N40" s="255">
        <f>12900+3900</f>
        <v>16800</v>
      </c>
      <c r="O40" s="255">
        <v>0</v>
      </c>
      <c r="P40" s="255">
        <v>3900</v>
      </c>
      <c r="Q40" s="255">
        <f>3900+3900+4000</f>
        <v>11800</v>
      </c>
      <c r="R40" s="255">
        <f>3900+3900+3500+15800</f>
        <v>27100</v>
      </c>
      <c r="S40" s="255">
        <v>0</v>
      </c>
      <c r="T40" s="139">
        <f aca="true" t="shared" si="9" ref="T40:T45">SUM(H40:S40)</f>
        <v>82000</v>
      </c>
      <c r="U40" s="135">
        <f aca="true" t="shared" si="10" ref="U40:U77">G40-T40</f>
        <v>8000</v>
      </c>
      <c r="V40" s="375"/>
      <c r="W40" s="375"/>
      <c r="X40" s="375"/>
    </row>
    <row r="41" spans="1:23" ht="18" customHeight="1">
      <c r="A41" s="10" t="s">
        <v>62</v>
      </c>
      <c r="B41" s="18"/>
      <c r="C41" s="18"/>
      <c r="D41" s="23">
        <v>10000</v>
      </c>
      <c r="E41" s="25"/>
      <c r="F41" s="393"/>
      <c r="G41" s="37">
        <f t="shared" si="8"/>
        <v>10000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  <c r="M41" s="255">
        <v>0</v>
      </c>
      <c r="N41" s="255">
        <v>0</v>
      </c>
      <c r="O41" s="255">
        <v>0</v>
      </c>
      <c r="P41" s="255">
        <v>0</v>
      </c>
      <c r="Q41" s="255">
        <v>0</v>
      </c>
      <c r="R41" s="255">
        <v>0</v>
      </c>
      <c r="S41" s="255">
        <v>0</v>
      </c>
      <c r="T41" s="139">
        <f t="shared" si="9"/>
        <v>0</v>
      </c>
      <c r="U41" s="135">
        <f t="shared" si="10"/>
        <v>10000</v>
      </c>
      <c r="V41" s="375"/>
      <c r="W41" s="375"/>
    </row>
    <row r="42" spans="1:23" ht="18" customHeight="1">
      <c r="A42" s="10" t="s">
        <v>150</v>
      </c>
      <c r="B42" s="18"/>
      <c r="C42" s="18"/>
      <c r="D42" s="23">
        <v>5000</v>
      </c>
      <c r="E42" s="25"/>
      <c r="F42" s="394"/>
      <c r="G42" s="37">
        <f t="shared" si="8"/>
        <v>5000</v>
      </c>
      <c r="H42" s="255">
        <v>0</v>
      </c>
      <c r="I42" s="255">
        <v>190</v>
      </c>
      <c r="J42" s="255">
        <v>220</v>
      </c>
      <c r="K42" s="255">
        <v>190</v>
      </c>
      <c r="L42" s="255">
        <v>210</v>
      </c>
      <c r="M42" s="255">
        <v>200</v>
      </c>
      <c r="N42" s="255">
        <v>210</v>
      </c>
      <c r="O42" s="255">
        <v>170</v>
      </c>
      <c r="P42" s="255">
        <v>210</v>
      </c>
      <c r="Q42" s="255">
        <v>210</v>
      </c>
      <c r="R42" s="255">
        <v>200</v>
      </c>
      <c r="S42" s="255">
        <f>220+200</f>
        <v>420</v>
      </c>
      <c r="T42" s="139">
        <f t="shared" si="9"/>
        <v>2430</v>
      </c>
      <c r="U42" s="135">
        <f t="shared" si="10"/>
        <v>2570</v>
      </c>
      <c r="V42" s="375"/>
      <c r="W42" s="375"/>
    </row>
    <row r="43" spans="1:24" ht="18" customHeight="1">
      <c r="A43" s="10" t="s">
        <v>151</v>
      </c>
      <c r="B43" s="18"/>
      <c r="C43" s="18"/>
      <c r="D43" s="23">
        <v>15000</v>
      </c>
      <c r="E43" s="23"/>
      <c r="F43" s="395">
        <v>7000</v>
      </c>
      <c r="G43" s="37">
        <f t="shared" si="8"/>
        <v>8000</v>
      </c>
      <c r="H43" s="255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5">
        <v>0</v>
      </c>
      <c r="Q43" s="255">
        <v>0</v>
      </c>
      <c r="R43" s="255">
        <v>0</v>
      </c>
      <c r="S43" s="255">
        <v>0</v>
      </c>
      <c r="T43" s="139">
        <f t="shared" si="9"/>
        <v>0</v>
      </c>
      <c r="U43" s="135">
        <f t="shared" si="10"/>
        <v>8000</v>
      </c>
      <c r="V43" s="375"/>
      <c r="W43" s="375"/>
      <c r="X43" s="375"/>
    </row>
    <row r="44" spans="1:24" ht="18" customHeight="1">
      <c r="A44" s="10" t="s">
        <v>179</v>
      </c>
      <c r="B44" s="694" t="s">
        <v>300</v>
      </c>
      <c r="C44" s="695"/>
      <c r="D44" s="23">
        <v>63000</v>
      </c>
      <c r="E44" s="23"/>
      <c r="F44" s="395"/>
      <c r="G44" s="37">
        <f t="shared" si="8"/>
        <v>63000</v>
      </c>
      <c r="H44" s="255">
        <v>0</v>
      </c>
      <c r="I44" s="255">
        <v>5250</v>
      </c>
      <c r="J44" s="255">
        <v>5250</v>
      </c>
      <c r="K44" s="255">
        <v>5250</v>
      </c>
      <c r="L44" s="255">
        <v>5250</v>
      </c>
      <c r="M44" s="255">
        <v>5250</v>
      </c>
      <c r="N44" s="255">
        <v>5250</v>
      </c>
      <c r="O44" s="255">
        <v>5250</v>
      </c>
      <c r="P44" s="255">
        <v>5250</v>
      </c>
      <c r="Q44" s="255">
        <v>5250</v>
      </c>
      <c r="R44" s="255">
        <v>5250</v>
      </c>
      <c r="S44" s="255">
        <v>5250</v>
      </c>
      <c r="T44" s="139">
        <f t="shared" si="9"/>
        <v>57750</v>
      </c>
      <c r="U44" s="135">
        <f t="shared" si="10"/>
        <v>5250</v>
      </c>
      <c r="V44" s="375"/>
      <c r="W44" s="375"/>
      <c r="X44" s="375"/>
    </row>
    <row r="45" spans="1:23" ht="18" customHeight="1">
      <c r="A45" s="396" t="s">
        <v>180</v>
      </c>
      <c r="B45" s="664" t="s">
        <v>236</v>
      </c>
      <c r="C45" s="665"/>
      <c r="D45" s="23"/>
      <c r="E45" s="23"/>
      <c r="F45" s="395"/>
      <c r="G45" s="37">
        <f t="shared" si="8"/>
        <v>0</v>
      </c>
      <c r="H45" s="255">
        <v>0</v>
      </c>
      <c r="I45" s="255">
        <v>0</v>
      </c>
      <c r="J45" s="255">
        <v>0</v>
      </c>
      <c r="K45" s="255">
        <v>0</v>
      </c>
      <c r="L45" s="255">
        <v>0</v>
      </c>
      <c r="M45" s="255">
        <v>0</v>
      </c>
      <c r="N45" s="255">
        <v>0</v>
      </c>
      <c r="O45" s="255">
        <v>0</v>
      </c>
      <c r="P45" s="255">
        <v>0</v>
      </c>
      <c r="Q45" s="255">
        <v>0</v>
      </c>
      <c r="R45" s="255">
        <v>0</v>
      </c>
      <c r="S45" s="255">
        <v>0</v>
      </c>
      <c r="T45" s="139">
        <f t="shared" si="9"/>
        <v>0</v>
      </c>
      <c r="U45" s="135">
        <f t="shared" si="10"/>
        <v>0</v>
      </c>
      <c r="V45" s="375"/>
      <c r="W45" s="375"/>
    </row>
    <row r="46" spans="1:23" ht="18" customHeight="1">
      <c r="A46" s="144" t="s">
        <v>190</v>
      </c>
      <c r="B46" s="686" t="s">
        <v>241</v>
      </c>
      <c r="C46" s="687"/>
      <c r="D46" s="203">
        <v>336000</v>
      </c>
      <c r="E46" s="23"/>
      <c r="F46" s="23"/>
      <c r="G46" s="37">
        <f>+D46+E46-F46</f>
        <v>336000</v>
      </c>
      <c r="H46" s="255">
        <v>0</v>
      </c>
      <c r="I46" s="255">
        <f>7000*4</f>
        <v>28000</v>
      </c>
      <c r="J46" s="255">
        <v>28000</v>
      </c>
      <c r="K46" s="255">
        <v>28000</v>
      </c>
      <c r="L46" s="255">
        <v>28000</v>
      </c>
      <c r="M46" s="255">
        <v>28000</v>
      </c>
      <c r="N46" s="255">
        <v>28000</v>
      </c>
      <c r="O46" s="255">
        <v>28000</v>
      </c>
      <c r="P46" s="255">
        <v>28000</v>
      </c>
      <c r="Q46" s="255">
        <v>28000</v>
      </c>
      <c r="R46" s="255">
        <v>28000</v>
      </c>
      <c r="S46" s="255">
        <f>28000*2</f>
        <v>56000</v>
      </c>
      <c r="T46" s="139">
        <f>SUM(H46:S46)</f>
        <v>336000</v>
      </c>
      <c r="U46" s="135">
        <f t="shared" si="10"/>
        <v>0</v>
      </c>
      <c r="V46" s="375"/>
      <c r="W46" s="375"/>
    </row>
    <row r="47" spans="1:23" ht="18" customHeight="1">
      <c r="A47" s="144" t="s">
        <v>244</v>
      </c>
      <c r="B47" s="686" t="s">
        <v>241</v>
      </c>
      <c r="C47" s="687"/>
      <c r="D47" s="203">
        <v>120000</v>
      </c>
      <c r="E47" s="23">
        <v>6000</v>
      </c>
      <c r="F47" s="23"/>
      <c r="G47" s="37">
        <f>+D47+E47-F47</f>
        <v>126000</v>
      </c>
      <c r="H47" s="255">
        <v>0</v>
      </c>
      <c r="I47" s="255">
        <v>0</v>
      </c>
      <c r="J47" s="255">
        <v>0</v>
      </c>
      <c r="K47" s="255">
        <v>0</v>
      </c>
      <c r="L47" s="255">
        <v>0</v>
      </c>
      <c r="M47" s="255">
        <v>0</v>
      </c>
      <c r="N47" s="255">
        <v>20150</v>
      </c>
      <c r="O47" s="255">
        <v>0</v>
      </c>
      <c r="P47" s="255">
        <v>0</v>
      </c>
      <c r="Q47" s="255">
        <v>0</v>
      </c>
      <c r="R47" s="255">
        <v>0</v>
      </c>
      <c r="S47" s="255">
        <v>20100</v>
      </c>
      <c r="T47" s="139">
        <f>SUM(H47:S47)</f>
        <v>40250</v>
      </c>
      <c r="U47" s="135">
        <f t="shared" si="10"/>
        <v>85750</v>
      </c>
      <c r="V47" s="375"/>
      <c r="W47" s="375"/>
    </row>
    <row r="48" spans="1:23" ht="18" customHeight="1">
      <c r="A48" s="17" t="s">
        <v>341</v>
      </c>
      <c r="B48" s="279" t="s">
        <v>194</v>
      </c>
      <c r="C48" s="674">
        <f>D49+D50+D51</f>
        <v>30000</v>
      </c>
      <c r="D48" s="675"/>
      <c r="E48" s="23"/>
      <c r="F48" s="395"/>
      <c r="G48" s="37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139"/>
      <c r="U48" s="135">
        <f t="shared" si="10"/>
        <v>0</v>
      </c>
      <c r="V48" s="375"/>
      <c r="W48" s="375"/>
    </row>
    <row r="49" spans="1:23" ht="18" customHeight="1">
      <c r="A49" s="10" t="s">
        <v>152</v>
      </c>
      <c r="B49" s="18"/>
      <c r="C49" s="18"/>
      <c r="D49" s="23">
        <v>15000</v>
      </c>
      <c r="E49" s="23"/>
      <c r="F49" s="23"/>
      <c r="G49" s="37">
        <f t="shared" si="8"/>
        <v>15000</v>
      </c>
      <c r="H49" s="255">
        <v>0</v>
      </c>
      <c r="I49" s="255">
        <f>200+275+425</f>
        <v>900</v>
      </c>
      <c r="J49" s="255">
        <v>0</v>
      </c>
      <c r="K49" s="255">
        <f>625+1125+1800+200</f>
        <v>3750</v>
      </c>
      <c r="L49" s="255">
        <f>200+425</f>
        <v>625</v>
      </c>
      <c r="M49" s="255">
        <f>200+425</f>
        <v>625</v>
      </c>
      <c r="N49" s="255">
        <v>1000</v>
      </c>
      <c r="O49" s="255">
        <f>275</f>
        <v>275</v>
      </c>
      <c r="P49" s="255">
        <v>0</v>
      </c>
      <c r="Q49" s="255">
        <v>0</v>
      </c>
      <c r="R49" s="255">
        <v>0</v>
      </c>
      <c r="S49" s="255">
        <v>0</v>
      </c>
      <c r="T49" s="139">
        <f>SUM(H49:S49)</f>
        <v>7175</v>
      </c>
      <c r="U49" s="135">
        <f t="shared" si="10"/>
        <v>7825</v>
      </c>
      <c r="V49" s="375"/>
      <c r="W49" s="375"/>
    </row>
    <row r="50" spans="1:23" ht="18" customHeight="1">
      <c r="A50" s="10" t="s">
        <v>153</v>
      </c>
      <c r="B50" s="18"/>
      <c r="C50" s="18"/>
      <c r="D50" s="23">
        <v>15000</v>
      </c>
      <c r="E50" s="23"/>
      <c r="F50" s="23"/>
      <c r="G50" s="37">
        <f t="shared" si="8"/>
        <v>15000</v>
      </c>
      <c r="H50" s="255">
        <v>0</v>
      </c>
      <c r="I50" s="255">
        <v>750</v>
      </c>
      <c r="J50" s="255">
        <v>0</v>
      </c>
      <c r="K50" s="255">
        <v>0</v>
      </c>
      <c r="L50" s="255">
        <v>1500</v>
      </c>
      <c r="M50" s="255">
        <v>0</v>
      </c>
      <c r="N50" s="255">
        <v>0</v>
      </c>
      <c r="O50" s="255">
        <v>750</v>
      </c>
      <c r="P50" s="255">
        <v>0</v>
      </c>
      <c r="Q50" s="255">
        <v>0</v>
      </c>
      <c r="R50" s="255">
        <v>1500</v>
      </c>
      <c r="S50" s="255">
        <v>0</v>
      </c>
      <c r="T50" s="139">
        <f aca="true" t="shared" si="11" ref="T50:T77">SUM(H50:S50)</f>
        <v>4500</v>
      </c>
      <c r="U50" s="135">
        <f t="shared" si="10"/>
        <v>10500</v>
      </c>
      <c r="V50" s="375"/>
      <c r="W50" s="375"/>
    </row>
    <row r="51" spans="1:24" ht="18" customHeight="1">
      <c r="A51" s="144" t="s">
        <v>154</v>
      </c>
      <c r="B51" s="1"/>
      <c r="C51" s="240"/>
      <c r="D51" s="36"/>
      <c r="E51" s="23"/>
      <c r="F51" s="23"/>
      <c r="G51" s="37">
        <f t="shared" si="8"/>
        <v>0</v>
      </c>
      <c r="H51" s="255">
        <v>0</v>
      </c>
      <c r="I51" s="255">
        <v>0</v>
      </c>
      <c r="J51" s="255">
        <v>0</v>
      </c>
      <c r="K51" s="255">
        <v>0</v>
      </c>
      <c r="L51" s="255">
        <v>0</v>
      </c>
      <c r="M51" s="255">
        <v>0</v>
      </c>
      <c r="N51" s="255">
        <v>0</v>
      </c>
      <c r="O51" s="255">
        <v>0</v>
      </c>
      <c r="P51" s="255">
        <v>0</v>
      </c>
      <c r="Q51" s="255">
        <v>0</v>
      </c>
      <c r="R51" s="255">
        <v>0</v>
      </c>
      <c r="S51" s="255">
        <v>0</v>
      </c>
      <c r="T51" s="139">
        <f t="shared" si="11"/>
        <v>0</v>
      </c>
      <c r="U51" s="135">
        <f t="shared" si="10"/>
        <v>0</v>
      </c>
      <c r="V51" s="375"/>
      <c r="W51" s="375"/>
      <c r="X51" s="375"/>
    </row>
    <row r="52" spans="1:22" ht="18" customHeight="1">
      <c r="A52" s="17" t="s">
        <v>342</v>
      </c>
      <c r="B52" s="279" t="s">
        <v>155</v>
      </c>
      <c r="C52" s="702">
        <f>D53+D54+D55+D56+D57+D58+D59+D60+D61+D62+D63+D64+D65+D66+D67+D68+D69+D70+D71+D72+D73+D74+D75+D76+D77+D83+D84+D85+D86+D87+D88+D89+D90+D91+D92+D93+D94+D95+D96+D97</f>
        <v>1128000</v>
      </c>
      <c r="D52" s="703"/>
      <c r="E52" s="23"/>
      <c r="F52" s="23"/>
      <c r="G52" s="135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139">
        <f t="shared" si="11"/>
        <v>0</v>
      </c>
      <c r="U52" s="135">
        <f t="shared" si="10"/>
        <v>0</v>
      </c>
      <c r="V52" s="375"/>
    </row>
    <row r="53" spans="1:22" s="302" customFormat="1" ht="18" customHeight="1">
      <c r="A53" s="442" t="s">
        <v>332</v>
      </c>
      <c r="B53" s="700"/>
      <c r="C53" s="701"/>
      <c r="D53" s="443">
        <v>200000</v>
      </c>
      <c r="E53" s="443">
        <v>0</v>
      </c>
      <c r="F53" s="443"/>
      <c r="G53" s="444">
        <f aca="true" t="shared" si="12" ref="G53:G69">+D53+E53-F53</f>
        <v>200000</v>
      </c>
      <c r="H53" s="445">
        <v>0</v>
      </c>
      <c r="I53" s="445">
        <v>0</v>
      </c>
      <c r="J53" s="445">
        <v>0</v>
      </c>
      <c r="K53" s="445">
        <f>74000+4500+5625+450</f>
        <v>84575</v>
      </c>
      <c r="L53" s="445">
        <v>115250</v>
      </c>
      <c r="M53" s="445">
        <v>0</v>
      </c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6">
        <f t="shared" si="11"/>
        <v>199825</v>
      </c>
      <c r="U53" s="447">
        <f t="shared" si="10"/>
        <v>175</v>
      </c>
      <c r="V53" s="448"/>
    </row>
    <row r="54" spans="1:23" ht="18" customHeight="1">
      <c r="A54" s="396" t="s">
        <v>156</v>
      </c>
      <c r="B54" s="18"/>
      <c r="C54" s="18"/>
      <c r="D54" s="23">
        <v>20000</v>
      </c>
      <c r="E54" s="23"/>
      <c r="F54" s="23">
        <f>2000+5000</f>
        <v>7000</v>
      </c>
      <c r="G54" s="37">
        <f t="shared" si="12"/>
        <v>13000</v>
      </c>
      <c r="H54" s="255">
        <v>0</v>
      </c>
      <c r="I54" s="255">
        <v>0</v>
      </c>
      <c r="J54" s="255">
        <v>0</v>
      </c>
      <c r="K54" s="255"/>
      <c r="L54" s="255">
        <v>0</v>
      </c>
      <c r="M54" s="255">
        <v>0</v>
      </c>
      <c r="N54" s="255">
        <v>0</v>
      </c>
      <c r="O54" s="255">
        <f>450+3000+2400+550+2400</f>
        <v>8800</v>
      </c>
      <c r="P54" s="255">
        <v>3300</v>
      </c>
      <c r="Q54" s="255">
        <v>0</v>
      </c>
      <c r="R54" s="255">
        <v>0</v>
      </c>
      <c r="S54" s="255">
        <v>0</v>
      </c>
      <c r="T54" s="139">
        <f t="shared" si="11"/>
        <v>12100</v>
      </c>
      <c r="U54" s="135">
        <f t="shared" si="10"/>
        <v>900</v>
      </c>
      <c r="V54" s="375"/>
      <c r="W54" s="375"/>
    </row>
    <row r="55" spans="1:22" ht="18" customHeight="1">
      <c r="A55" s="396" t="s">
        <v>331</v>
      </c>
      <c r="B55" s="18"/>
      <c r="C55" s="18"/>
      <c r="D55" s="23">
        <v>20000</v>
      </c>
      <c r="E55" s="23"/>
      <c r="F55" s="23"/>
      <c r="G55" s="37">
        <f t="shared" si="12"/>
        <v>20000</v>
      </c>
      <c r="H55" s="255">
        <v>0</v>
      </c>
      <c r="I55" s="255">
        <v>0</v>
      </c>
      <c r="J55" s="255">
        <v>0</v>
      </c>
      <c r="K55" s="255">
        <v>0</v>
      </c>
      <c r="L55" s="255">
        <v>0</v>
      </c>
      <c r="M55" s="255">
        <f>4500+3444+2700+3700</f>
        <v>14344</v>
      </c>
      <c r="N55" s="255">
        <v>2000</v>
      </c>
      <c r="O55" s="255">
        <v>0</v>
      </c>
      <c r="P55" s="255">
        <v>0</v>
      </c>
      <c r="Q55" s="255">
        <v>0</v>
      </c>
      <c r="R55" s="255">
        <v>0</v>
      </c>
      <c r="S55" s="255">
        <v>0</v>
      </c>
      <c r="T55" s="139">
        <f t="shared" si="11"/>
        <v>16344</v>
      </c>
      <c r="U55" s="135">
        <f t="shared" si="10"/>
        <v>3656</v>
      </c>
      <c r="V55" s="375"/>
    </row>
    <row r="56" spans="1:24" ht="18" customHeight="1">
      <c r="A56" s="10" t="s">
        <v>157</v>
      </c>
      <c r="B56" s="18"/>
      <c r="C56" s="18"/>
      <c r="D56" s="23">
        <v>30000</v>
      </c>
      <c r="E56" s="23">
        <v>5000</v>
      </c>
      <c r="F56" s="23"/>
      <c r="G56" s="37">
        <f t="shared" si="12"/>
        <v>35000</v>
      </c>
      <c r="H56" s="255">
        <v>0</v>
      </c>
      <c r="I56" s="255">
        <v>0</v>
      </c>
      <c r="J56" s="255">
        <f>3084+1082</f>
        <v>4166</v>
      </c>
      <c r="K56" s="255">
        <v>0</v>
      </c>
      <c r="L56" s="255">
        <v>0</v>
      </c>
      <c r="M56" s="255">
        <f>5128+1040+400</f>
        <v>6568</v>
      </c>
      <c r="N56" s="255">
        <f>400+1888</f>
        <v>2288</v>
      </c>
      <c r="O56" s="255">
        <v>400</v>
      </c>
      <c r="P56" s="255">
        <f>1048+5184</f>
        <v>6232</v>
      </c>
      <c r="Q56" s="255">
        <f>3200+1038</f>
        <v>4238</v>
      </c>
      <c r="R56" s="255">
        <f>864+1040+800+948</f>
        <v>3652</v>
      </c>
      <c r="S56" s="255">
        <f>1360+2512</f>
        <v>3872</v>
      </c>
      <c r="T56" s="139">
        <f t="shared" si="11"/>
        <v>31416</v>
      </c>
      <c r="U56" s="135">
        <f t="shared" si="10"/>
        <v>3584</v>
      </c>
      <c r="X56" s="375"/>
    </row>
    <row r="57" spans="1:22" s="302" customFormat="1" ht="18" customHeight="1">
      <c r="A57" s="449" t="s">
        <v>425</v>
      </c>
      <c r="B57" s="666" t="s">
        <v>236</v>
      </c>
      <c r="C57" s="667"/>
      <c r="D57" s="443">
        <v>100000</v>
      </c>
      <c r="E57" s="443"/>
      <c r="F57" s="443"/>
      <c r="G57" s="444">
        <f t="shared" si="12"/>
        <v>100000</v>
      </c>
      <c r="H57" s="445">
        <v>0</v>
      </c>
      <c r="I57" s="445">
        <v>0</v>
      </c>
      <c r="J57" s="445">
        <v>0</v>
      </c>
      <c r="K57" s="445">
        <v>0</v>
      </c>
      <c r="L57" s="445">
        <v>0</v>
      </c>
      <c r="M57" s="445">
        <v>0</v>
      </c>
      <c r="N57" s="445">
        <v>0</v>
      </c>
      <c r="O57" s="445">
        <v>0</v>
      </c>
      <c r="P57" s="445">
        <v>0</v>
      </c>
      <c r="Q57" s="445">
        <v>0</v>
      </c>
      <c r="R57" s="445">
        <v>0</v>
      </c>
      <c r="S57" s="445">
        <f>3600+2090+1760+3750+9375+52900+13300+11400+450</f>
        <v>98625</v>
      </c>
      <c r="T57" s="446">
        <f t="shared" si="11"/>
        <v>98625</v>
      </c>
      <c r="U57" s="447">
        <f t="shared" si="10"/>
        <v>1375</v>
      </c>
      <c r="V57" s="448"/>
    </row>
    <row r="58" spans="1:21" ht="18" customHeight="1">
      <c r="A58" s="10" t="s">
        <v>158</v>
      </c>
      <c r="B58" s="18"/>
      <c r="C58" s="18"/>
      <c r="D58" s="23">
        <v>5000</v>
      </c>
      <c r="E58" s="23">
        <v>2000</v>
      </c>
      <c r="F58" s="23"/>
      <c r="G58" s="37">
        <f>+D58+E58-F58</f>
        <v>7000</v>
      </c>
      <c r="H58" s="255">
        <v>0</v>
      </c>
      <c r="I58" s="255">
        <v>600</v>
      </c>
      <c r="J58" s="255">
        <v>0</v>
      </c>
      <c r="K58" s="255">
        <v>0</v>
      </c>
      <c r="L58" s="255">
        <v>0</v>
      </c>
      <c r="M58" s="255">
        <v>0</v>
      </c>
      <c r="N58" s="255">
        <v>0</v>
      </c>
      <c r="O58" s="255">
        <v>0</v>
      </c>
      <c r="P58" s="255">
        <v>0</v>
      </c>
      <c r="Q58" s="255">
        <v>0</v>
      </c>
      <c r="R58" s="255">
        <f>2000+3150</f>
        <v>5150</v>
      </c>
      <c r="S58" s="255">
        <v>0</v>
      </c>
      <c r="T58" s="139">
        <f>SUM(H58:S58)</f>
        <v>5750</v>
      </c>
      <c r="U58" s="135">
        <f>G58-T58</f>
        <v>1250</v>
      </c>
    </row>
    <row r="59" spans="1:21" ht="18" customHeight="1">
      <c r="A59" s="10" t="s">
        <v>159</v>
      </c>
      <c r="B59" s="18"/>
      <c r="C59" s="18"/>
      <c r="D59" s="23">
        <v>100000</v>
      </c>
      <c r="E59" s="23"/>
      <c r="F59" s="23">
        <v>0</v>
      </c>
      <c r="G59" s="37">
        <f t="shared" si="12"/>
        <v>100000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5">
        <v>0</v>
      </c>
      <c r="N59" s="255">
        <v>0</v>
      </c>
      <c r="O59" s="255">
        <v>0</v>
      </c>
      <c r="P59" s="255">
        <v>0</v>
      </c>
      <c r="Q59" s="255">
        <v>0</v>
      </c>
      <c r="R59" s="255">
        <v>0</v>
      </c>
      <c r="S59" s="255">
        <v>0</v>
      </c>
      <c r="T59" s="139">
        <f t="shared" si="11"/>
        <v>0</v>
      </c>
      <c r="U59" s="135">
        <f t="shared" si="10"/>
        <v>100000</v>
      </c>
    </row>
    <row r="60" spans="1:21" s="302" customFormat="1" ht="18" customHeight="1">
      <c r="A60" s="449" t="s">
        <v>460</v>
      </c>
      <c r="B60" s="489"/>
      <c r="C60" s="490"/>
      <c r="D60" s="443">
        <v>10000</v>
      </c>
      <c r="E60" s="443"/>
      <c r="F60" s="443"/>
      <c r="G60" s="444">
        <f>+D60+E60-F60</f>
        <v>10000</v>
      </c>
      <c r="H60" s="445">
        <v>0</v>
      </c>
      <c r="I60" s="445">
        <v>0</v>
      </c>
      <c r="J60" s="445">
        <v>0</v>
      </c>
      <c r="K60" s="445">
        <v>0</v>
      </c>
      <c r="L60" s="445">
        <v>0</v>
      </c>
      <c r="M60" s="445">
        <v>0</v>
      </c>
      <c r="N60" s="445">
        <v>0</v>
      </c>
      <c r="O60" s="445">
        <v>0</v>
      </c>
      <c r="P60" s="445">
        <v>0</v>
      </c>
      <c r="Q60" s="445">
        <v>0</v>
      </c>
      <c r="R60" s="445">
        <v>0</v>
      </c>
      <c r="S60" s="445">
        <v>0</v>
      </c>
      <c r="T60" s="446">
        <f>SUM(H60:S60)</f>
        <v>0</v>
      </c>
      <c r="U60" s="447">
        <f>G60-T60</f>
        <v>10000</v>
      </c>
    </row>
    <row r="61" spans="1:22" s="302" customFormat="1" ht="18" customHeight="1">
      <c r="A61" s="449" t="s">
        <v>461</v>
      </c>
      <c r="B61" s="692" t="s">
        <v>403</v>
      </c>
      <c r="C61" s="693"/>
      <c r="D61" s="443">
        <v>10000</v>
      </c>
      <c r="E61" s="443">
        <v>0</v>
      </c>
      <c r="F61" s="443"/>
      <c r="G61" s="444">
        <f t="shared" si="12"/>
        <v>10000</v>
      </c>
      <c r="H61" s="445">
        <v>0</v>
      </c>
      <c r="I61" s="445">
        <v>0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f>2500+500+7000</f>
        <v>10000</v>
      </c>
      <c r="S61" s="445">
        <v>0</v>
      </c>
      <c r="T61" s="446">
        <f t="shared" si="11"/>
        <v>10000</v>
      </c>
      <c r="U61" s="447">
        <f t="shared" si="10"/>
        <v>0</v>
      </c>
      <c r="V61" s="448"/>
    </row>
    <row r="62" spans="1:23" ht="18" customHeight="1">
      <c r="A62" s="355" t="s">
        <v>325</v>
      </c>
      <c r="B62" s="664" t="s">
        <v>326</v>
      </c>
      <c r="C62" s="665"/>
      <c r="D62" s="23"/>
      <c r="E62" s="354"/>
      <c r="F62" s="155"/>
      <c r="G62" s="37">
        <f aca="true" t="shared" si="13" ref="G62:G68">+D62+E62-F62</f>
        <v>0</v>
      </c>
      <c r="H62" s="255">
        <v>0</v>
      </c>
      <c r="I62" s="255">
        <v>0</v>
      </c>
      <c r="J62" s="255">
        <v>0</v>
      </c>
      <c r="K62" s="255">
        <v>0</v>
      </c>
      <c r="L62" s="255">
        <v>0</v>
      </c>
      <c r="M62" s="255">
        <v>0</v>
      </c>
      <c r="N62" s="255">
        <v>0</v>
      </c>
      <c r="O62" s="255">
        <v>0</v>
      </c>
      <c r="P62" s="255">
        <v>0</v>
      </c>
      <c r="Q62" s="255">
        <v>0</v>
      </c>
      <c r="R62" s="255">
        <v>0</v>
      </c>
      <c r="S62" s="255">
        <v>0</v>
      </c>
      <c r="T62" s="139">
        <f>SUM(H62:S62)</f>
        <v>0</v>
      </c>
      <c r="U62" s="135">
        <f>G62-T62</f>
        <v>0</v>
      </c>
      <c r="V62" s="375"/>
      <c r="W62" s="375"/>
    </row>
    <row r="63" spans="1:22" ht="18" customHeight="1">
      <c r="A63" s="396" t="s">
        <v>192</v>
      </c>
      <c r="B63" s="664" t="s">
        <v>236</v>
      </c>
      <c r="C63" s="665"/>
      <c r="D63" s="23">
        <v>25000</v>
      </c>
      <c r="E63" s="354"/>
      <c r="F63" s="9"/>
      <c r="G63" s="37">
        <f t="shared" si="13"/>
        <v>25000</v>
      </c>
      <c r="H63" s="255">
        <v>0</v>
      </c>
      <c r="I63" s="255">
        <v>0</v>
      </c>
      <c r="J63" s="255">
        <v>0</v>
      </c>
      <c r="K63" s="255">
        <f>18480+4799+1472</f>
        <v>24751</v>
      </c>
      <c r="L63" s="255">
        <v>0</v>
      </c>
      <c r="M63" s="255">
        <v>0</v>
      </c>
      <c r="N63" s="255">
        <v>0</v>
      </c>
      <c r="O63" s="255">
        <v>0</v>
      </c>
      <c r="P63" s="255">
        <v>0</v>
      </c>
      <c r="Q63" s="255">
        <v>0</v>
      </c>
      <c r="R63" s="255">
        <v>0</v>
      </c>
      <c r="S63" s="255">
        <v>0</v>
      </c>
      <c r="T63" s="139">
        <f t="shared" si="11"/>
        <v>24751</v>
      </c>
      <c r="U63" s="135">
        <f t="shared" si="10"/>
        <v>249</v>
      </c>
      <c r="V63" s="375"/>
    </row>
    <row r="64" spans="1:21" ht="18" customHeight="1">
      <c r="A64" s="396" t="s">
        <v>301</v>
      </c>
      <c r="B64" s="664" t="s">
        <v>236</v>
      </c>
      <c r="C64" s="665"/>
      <c r="D64" s="23">
        <v>10000</v>
      </c>
      <c r="E64" s="354"/>
      <c r="F64" s="9"/>
      <c r="G64" s="37">
        <f t="shared" si="13"/>
        <v>10000</v>
      </c>
      <c r="H64" s="255">
        <v>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255">
        <v>0</v>
      </c>
      <c r="Q64" s="255">
        <v>0</v>
      </c>
      <c r="R64" s="255">
        <v>0</v>
      </c>
      <c r="S64" s="255">
        <v>0</v>
      </c>
      <c r="T64" s="139">
        <f>SUM(H64:S64)</f>
        <v>0</v>
      </c>
      <c r="U64" s="135">
        <f>G64-T64</f>
        <v>10000</v>
      </c>
    </row>
    <row r="65" spans="1:22" ht="18" customHeight="1">
      <c r="A65" s="396" t="s">
        <v>191</v>
      </c>
      <c r="B65" s="664" t="s">
        <v>236</v>
      </c>
      <c r="C65" s="665"/>
      <c r="D65" s="23">
        <v>25000</v>
      </c>
      <c r="E65" s="354"/>
      <c r="F65" s="9"/>
      <c r="G65" s="37">
        <f t="shared" si="13"/>
        <v>25000</v>
      </c>
      <c r="H65" s="255">
        <v>0</v>
      </c>
      <c r="I65" s="255">
        <v>0</v>
      </c>
      <c r="J65" s="255">
        <v>0</v>
      </c>
      <c r="K65" s="255">
        <v>0</v>
      </c>
      <c r="L65" s="255">
        <v>0</v>
      </c>
      <c r="M65" s="255">
        <v>0</v>
      </c>
      <c r="N65" s="255">
        <v>0</v>
      </c>
      <c r="O65" s="255">
        <f>18900+4068+1700</f>
        <v>24668</v>
      </c>
      <c r="P65" s="255">
        <v>0</v>
      </c>
      <c r="Q65" s="255">
        <v>0</v>
      </c>
      <c r="R65" s="255">
        <v>0</v>
      </c>
      <c r="S65" s="255">
        <v>0</v>
      </c>
      <c r="T65" s="139">
        <f t="shared" si="11"/>
        <v>24668</v>
      </c>
      <c r="U65" s="135">
        <f t="shared" si="10"/>
        <v>332</v>
      </c>
      <c r="V65" s="375"/>
    </row>
    <row r="66" spans="1:21" ht="18" customHeight="1">
      <c r="A66" s="396" t="s">
        <v>302</v>
      </c>
      <c r="B66" s="664" t="s">
        <v>236</v>
      </c>
      <c r="C66" s="665"/>
      <c r="D66" s="23">
        <v>3000</v>
      </c>
      <c r="E66" s="354"/>
      <c r="F66" s="9"/>
      <c r="G66" s="37">
        <f t="shared" si="13"/>
        <v>3000</v>
      </c>
      <c r="H66" s="255">
        <v>0</v>
      </c>
      <c r="I66" s="255">
        <v>0</v>
      </c>
      <c r="J66" s="255">
        <v>0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</v>
      </c>
      <c r="T66" s="139">
        <f>SUM(H66:S66)</f>
        <v>0</v>
      </c>
      <c r="U66" s="135">
        <f>G66-T66</f>
        <v>3000</v>
      </c>
    </row>
    <row r="67" spans="1:22" s="302" customFormat="1" ht="18" customHeight="1">
      <c r="A67" s="442" t="s">
        <v>303</v>
      </c>
      <c r="B67" s="666" t="s">
        <v>236</v>
      </c>
      <c r="C67" s="667"/>
      <c r="D67" s="443">
        <v>30000</v>
      </c>
      <c r="E67" s="461"/>
      <c r="F67" s="462"/>
      <c r="G67" s="444">
        <f t="shared" si="13"/>
        <v>30000</v>
      </c>
      <c r="H67" s="445">
        <v>0</v>
      </c>
      <c r="I67" s="445">
        <v>0</v>
      </c>
      <c r="J67" s="445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f>1600+2000+450+10000+7100+8400</f>
        <v>29550</v>
      </c>
      <c r="T67" s="446">
        <f>SUM(H67:S67)</f>
        <v>29550</v>
      </c>
      <c r="U67" s="447">
        <f>G67-T67</f>
        <v>450</v>
      </c>
      <c r="V67" s="448"/>
    </row>
    <row r="68" spans="1:23" ht="18" customHeight="1">
      <c r="A68" s="396" t="s">
        <v>401</v>
      </c>
      <c r="B68" s="664" t="s">
        <v>402</v>
      </c>
      <c r="C68" s="665"/>
      <c r="D68" s="23"/>
      <c r="E68" s="354">
        <v>0</v>
      </c>
      <c r="F68" s="155"/>
      <c r="G68" s="37">
        <f t="shared" si="13"/>
        <v>0</v>
      </c>
      <c r="H68" s="255">
        <v>0</v>
      </c>
      <c r="I68" s="255">
        <v>0</v>
      </c>
      <c r="J68" s="255">
        <v>0</v>
      </c>
      <c r="K68" s="255">
        <v>0</v>
      </c>
      <c r="L68" s="255">
        <v>0</v>
      </c>
      <c r="M68" s="255">
        <v>0</v>
      </c>
      <c r="N68" s="255">
        <v>0</v>
      </c>
      <c r="O68" s="255">
        <v>0</v>
      </c>
      <c r="P68" s="255">
        <v>0</v>
      </c>
      <c r="Q68" s="255">
        <v>0</v>
      </c>
      <c r="R68" s="255">
        <v>0</v>
      </c>
      <c r="S68" s="255">
        <v>0</v>
      </c>
      <c r="T68" s="139">
        <f>SUM(H68:S68)</f>
        <v>0</v>
      </c>
      <c r="U68" s="135">
        <f>G68-T68</f>
        <v>0</v>
      </c>
      <c r="V68" s="375"/>
      <c r="W68" s="375"/>
    </row>
    <row r="69" spans="1:22" ht="18" customHeight="1">
      <c r="A69" s="10" t="s">
        <v>328</v>
      </c>
      <c r="B69" s="664" t="s">
        <v>209</v>
      </c>
      <c r="C69" s="665"/>
      <c r="D69" s="23"/>
      <c r="E69" s="23"/>
      <c r="F69" s="23"/>
      <c r="G69" s="37">
        <f t="shared" si="12"/>
        <v>0</v>
      </c>
      <c r="H69" s="255">
        <v>0</v>
      </c>
      <c r="I69" s="255">
        <v>0</v>
      </c>
      <c r="J69" s="255">
        <v>0</v>
      </c>
      <c r="K69" s="255">
        <v>0</v>
      </c>
      <c r="L69" s="255">
        <v>0</v>
      </c>
      <c r="M69" s="255">
        <v>0</v>
      </c>
      <c r="N69" s="255">
        <v>0</v>
      </c>
      <c r="O69" s="255">
        <v>0</v>
      </c>
      <c r="P69" s="255">
        <v>0</v>
      </c>
      <c r="Q69" s="255">
        <v>0</v>
      </c>
      <c r="R69" s="255">
        <v>0</v>
      </c>
      <c r="S69" s="255">
        <v>0</v>
      </c>
      <c r="T69" s="139">
        <f t="shared" si="11"/>
        <v>0</v>
      </c>
      <c r="U69" s="135">
        <f t="shared" si="10"/>
        <v>0</v>
      </c>
      <c r="V69" s="375"/>
    </row>
    <row r="70" spans="1:21" s="302" customFormat="1" ht="18" customHeight="1">
      <c r="A70" s="449" t="s">
        <v>183</v>
      </c>
      <c r="B70" s="666" t="s">
        <v>237</v>
      </c>
      <c r="C70" s="667"/>
      <c r="D70" s="443">
        <v>40000</v>
      </c>
      <c r="E70" s="443"/>
      <c r="F70" s="443"/>
      <c r="G70" s="444">
        <f aca="true" t="shared" si="14" ref="G70:G77">+D70+E70-F70</f>
        <v>40000</v>
      </c>
      <c r="H70" s="445">
        <v>0</v>
      </c>
      <c r="I70" s="445">
        <v>0</v>
      </c>
      <c r="J70" s="445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5">
        <v>39000</v>
      </c>
      <c r="R70" s="445">
        <v>0</v>
      </c>
      <c r="S70" s="445">
        <v>0</v>
      </c>
      <c r="T70" s="446">
        <f t="shared" si="11"/>
        <v>39000</v>
      </c>
      <c r="U70" s="447">
        <f t="shared" si="10"/>
        <v>1000</v>
      </c>
    </row>
    <row r="71" spans="1:21" s="302" customFormat="1" ht="18" customHeight="1">
      <c r="A71" s="449" t="s">
        <v>184</v>
      </c>
      <c r="B71" s="666" t="s">
        <v>237</v>
      </c>
      <c r="C71" s="667"/>
      <c r="D71" s="443">
        <v>35000</v>
      </c>
      <c r="E71" s="443">
        <v>5000</v>
      </c>
      <c r="F71" s="443">
        <v>0</v>
      </c>
      <c r="G71" s="444">
        <f t="shared" si="14"/>
        <v>40000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>
        <v>0</v>
      </c>
      <c r="N71" s="445">
        <v>0</v>
      </c>
      <c r="O71" s="445">
        <f>432+1800+1250</f>
        <v>3482</v>
      </c>
      <c r="P71" s="445">
        <v>0</v>
      </c>
      <c r="Q71" s="445">
        <v>36515</v>
      </c>
      <c r="R71" s="445">
        <v>0</v>
      </c>
      <c r="S71" s="445">
        <v>0</v>
      </c>
      <c r="T71" s="446">
        <f t="shared" si="11"/>
        <v>39997</v>
      </c>
      <c r="U71" s="447">
        <f t="shared" si="10"/>
        <v>3</v>
      </c>
    </row>
    <row r="72" spans="1:22" ht="18" customHeight="1">
      <c r="A72" s="10" t="s">
        <v>408</v>
      </c>
      <c r="B72" s="664" t="s">
        <v>241</v>
      </c>
      <c r="C72" s="665"/>
      <c r="D72" s="23"/>
      <c r="E72" s="23">
        <v>0</v>
      </c>
      <c r="F72" s="23"/>
      <c r="G72" s="37">
        <f>+D72+E72-F72</f>
        <v>0</v>
      </c>
      <c r="H72" s="255">
        <v>0</v>
      </c>
      <c r="I72" s="255">
        <v>0</v>
      </c>
      <c r="J72" s="255">
        <v>0</v>
      </c>
      <c r="K72" s="255">
        <v>0</v>
      </c>
      <c r="L72" s="255">
        <v>0</v>
      </c>
      <c r="M72" s="255">
        <v>0</v>
      </c>
      <c r="N72" s="255">
        <v>0</v>
      </c>
      <c r="O72" s="255">
        <v>0</v>
      </c>
      <c r="P72" s="255">
        <v>0</v>
      </c>
      <c r="Q72" s="255">
        <v>0</v>
      </c>
      <c r="R72" s="255">
        <v>0</v>
      </c>
      <c r="S72" s="255">
        <v>0</v>
      </c>
      <c r="T72" s="139">
        <f t="shared" si="11"/>
        <v>0</v>
      </c>
      <c r="U72" s="135">
        <f t="shared" si="10"/>
        <v>0</v>
      </c>
      <c r="V72" s="375"/>
    </row>
    <row r="73" spans="1:22" ht="18" customHeight="1">
      <c r="A73" s="351" t="s">
        <v>238</v>
      </c>
      <c r="B73" s="664" t="s">
        <v>209</v>
      </c>
      <c r="C73" s="665"/>
      <c r="D73" s="23">
        <v>20000</v>
      </c>
      <c r="E73" s="23"/>
      <c r="F73" s="23"/>
      <c r="G73" s="37">
        <f>+D73+E73-F73</f>
        <v>20000</v>
      </c>
      <c r="H73" s="255">
        <v>0</v>
      </c>
      <c r="I73" s="255">
        <v>0</v>
      </c>
      <c r="J73" s="255">
        <f>3200+464+1360+2168</f>
        <v>7192</v>
      </c>
      <c r="K73" s="255">
        <v>0</v>
      </c>
      <c r="L73" s="255">
        <v>0</v>
      </c>
      <c r="M73" s="255">
        <v>0</v>
      </c>
      <c r="N73" s="255">
        <v>0</v>
      </c>
      <c r="O73" s="255">
        <v>0</v>
      </c>
      <c r="P73" s="255">
        <v>0</v>
      </c>
      <c r="Q73" s="255">
        <v>0</v>
      </c>
      <c r="R73" s="255">
        <v>0</v>
      </c>
      <c r="S73" s="255">
        <v>0</v>
      </c>
      <c r="T73" s="139">
        <f t="shared" si="11"/>
        <v>7192</v>
      </c>
      <c r="U73" s="135">
        <f t="shared" si="10"/>
        <v>12808</v>
      </c>
      <c r="V73" s="375"/>
    </row>
    <row r="74" spans="1:22" ht="18" customHeight="1">
      <c r="A74" s="10" t="s">
        <v>187</v>
      </c>
      <c r="B74" s="664" t="s">
        <v>210</v>
      </c>
      <c r="C74" s="665"/>
      <c r="D74" s="23">
        <v>0</v>
      </c>
      <c r="E74" s="23"/>
      <c r="F74" s="23">
        <v>0</v>
      </c>
      <c r="G74" s="37">
        <f t="shared" si="14"/>
        <v>0</v>
      </c>
      <c r="H74" s="255">
        <v>0</v>
      </c>
      <c r="I74" s="255">
        <v>0</v>
      </c>
      <c r="J74" s="255">
        <v>0</v>
      </c>
      <c r="K74" s="255">
        <v>0</v>
      </c>
      <c r="L74" s="255">
        <v>0</v>
      </c>
      <c r="M74" s="255">
        <v>0</v>
      </c>
      <c r="N74" s="255">
        <v>0</v>
      </c>
      <c r="O74" s="255">
        <v>0</v>
      </c>
      <c r="P74" s="255">
        <v>0</v>
      </c>
      <c r="Q74" s="255">
        <v>0</v>
      </c>
      <c r="R74" s="255">
        <v>0</v>
      </c>
      <c r="S74" s="255">
        <v>0</v>
      </c>
      <c r="T74" s="139">
        <f t="shared" si="11"/>
        <v>0</v>
      </c>
      <c r="U74" s="135">
        <f t="shared" si="10"/>
        <v>0</v>
      </c>
      <c r="V74" s="375"/>
    </row>
    <row r="75" spans="1:22" ht="18" customHeight="1">
      <c r="A75" s="307" t="s">
        <v>372</v>
      </c>
      <c r="B75" s="664" t="s">
        <v>210</v>
      </c>
      <c r="C75" s="665"/>
      <c r="D75" s="23">
        <v>0</v>
      </c>
      <c r="E75" s="23"/>
      <c r="F75" s="23"/>
      <c r="G75" s="37">
        <f t="shared" si="14"/>
        <v>0</v>
      </c>
      <c r="H75" s="255">
        <v>0</v>
      </c>
      <c r="I75" s="255">
        <v>0</v>
      </c>
      <c r="J75" s="255">
        <v>0</v>
      </c>
      <c r="K75" s="255">
        <v>0</v>
      </c>
      <c r="L75" s="255">
        <v>0</v>
      </c>
      <c r="M75" s="255">
        <v>0</v>
      </c>
      <c r="N75" s="255">
        <v>0</v>
      </c>
      <c r="O75" s="255">
        <v>0</v>
      </c>
      <c r="P75" s="255">
        <v>0</v>
      </c>
      <c r="Q75" s="255">
        <v>0</v>
      </c>
      <c r="R75" s="255">
        <v>0</v>
      </c>
      <c r="S75" s="255">
        <v>0</v>
      </c>
      <c r="T75" s="139">
        <f t="shared" si="11"/>
        <v>0</v>
      </c>
      <c r="U75" s="135">
        <f t="shared" si="10"/>
        <v>0</v>
      </c>
      <c r="V75" s="375"/>
    </row>
    <row r="76" spans="1:22" ht="18" customHeight="1">
      <c r="A76" s="307" t="s">
        <v>188</v>
      </c>
      <c r="B76" s="664" t="s">
        <v>210</v>
      </c>
      <c r="C76" s="665"/>
      <c r="D76" s="23">
        <v>40000</v>
      </c>
      <c r="E76" s="23"/>
      <c r="F76" s="23"/>
      <c r="G76" s="37">
        <f t="shared" si="14"/>
        <v>40000</v>
      </c>
      <c r="H76" s="255">
        <v>0</v>
      </c>
      <c r="I76" s="255">
        <v>0</v>
      </c>
      <c r="J76" s="255">
        <v>0</v>
      </c>
      <c r="K76" s="255">
        <v>0</v>
      </c>
      <c r="L76" s="255">
        <v>0</v>
      </c>
      <c r="M76" s="255">
        <v>0</v>
      </c>
      <c r="N76" s="255">
        <v>0</v>
      </c>
      <c r="O76" s="255">
        <v>37100</v>
      </c>
      <c r="P76" s="255">
        <v>0</v>
      </c>
      <c r="Q76" s="255">
        <v>0</v>
      </c>
      <c r="R76" s="255">
        <v>0</v>
      </c>
      <c r="S76" s="255">
        <v>0</v>
      </c>
      <c r="T76" s="139">
        <f t="shared" si="11"/>
        <v>37100</v>
      </c>
      <c r="U76" s="135">
        <f t="shared" si="10"/>
        <v>2900</v>
      </c>
      <c r="V76" s="375"/>
    </row>
    <row r="77" spans="1:22" ht="18" customHeight="1">
      <c r="A77" s="307" t="s">
        <v>488</v>
      </c>
      <c r="B77" s="664"/>
      <c r="C77" s="665"/>
      <c r="D77" s="23">
        <v>0</v>
      </c>
      <c r="E77" s="23">
        <v>20000</v>
      </c>
      <c r="F77" s="23"/>
      <c r="G77" s="37">
        <f t="shared" si="14"/>
        <v>20000</v>
      </c>
      <c r="H77" s="255">
        <v>0</v>
      </c>
      <c r="I77" s="255">
        <v>0</v>
      </c>
      <c r="J77" s="255">
        <v>0</v>
      </c>
      <c r="K77" s="255">
        <v>0</v>
      </c>
      <c r="L77" s="255">
        <v>0</v>
      </c>
      <c r="M77" s="255">
        <v>0</v>
      </c>
      <c r="N77" s="255">
        <v>0</v>
      </c>
      <c r="O77" s="255">
        <v>0</v>
      </c>
      <c r="P77" s="255">
        <v>0</v>
      </c>
      <c r="Q77" s="255">
        <v>0</v>
      </c>
      <c r="R77" s="255">
        <f>5540+432+3600+10000</f>
        <v>19572</v>
      </c>
      <c r="S77" s="255">
        <v>0</v>
      </c>
      <c r="T77" s="139">
        <f t="shared" si="11"/>
        <v>19572</v>
      </c>
      <c r="U77" s="135">
        <f t="shared" si="10"/>
        <v>428</v>
      </c>
      <c r="V77" s="375"/>
    </row>
    <row r="78" spans="1:23" ht="21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W78" s="375"/>
    </row>
    <row r="79" spans="1:21" ht="18" customHeight="1">
      <c r="A79" s="676" t="s">
        <v>21</v>
      </c>
      <c r="B79" s="677"/>
      <c r="C79" s="677"/>
      <c r="D79" s="677"/>
      <c r="E79" s="677"/>
      <c r="F79" s="677"/>
      <c r="G79" s="677"/>
      <c r="H79" s="677"/>
      <c r="I79" s="677"/>
      <c r="J79" s="677"/>
      <c r="K79" s="677"/>
      <c r="L79" s="677"/>
      <c r="M79" s="677"/>
      <c r="N79" s="677"/>
      <c r="O79" s="677"/>
      <c r="P79" s="677"/>
      <c r="Q79" s="677"/>
      <c r="R79" s="677"/>
      <c r="S79" s="677"/>
      <c r="T79" s="677"/>
      <c r="U79" s="677"/>
    </row>
    <row r="80" spans="1:21" s="142" customFormat="1" ht="18" customHeight="1">
      <c r="A80" s="658" t="s">
        <v>489</v>
      </c>
      <c r="B80" s="658"/>
      <c r="C80" s="658"/>
      <c r="D80" s="658"/>
      <c r="E80" s="658"/>
      <c r="F80" s="658"/>
      <c r="G80" s="658"/>
      <c r="H80" s="658"/>
      <c r="I80" s="658"/>
      <c r="J80" s="658"/>
      <c r="K80" s="658"/>
      <c r="L80" s="658"/>
      <c r="M80" s="658"/>
      <c r="N80" s="658"/>
      <c r="O80" s="658"/>
      <c r="P80" s="658"/>
      <c r="Q80" s="658"/>
      <c r="R80" s="658"/>
      <c r="S80" s="658"/>
      <c r="T80" s="658"/>
      <c r="U80" s="658"/>
    </row>
    <row r="81" spans="1:21" s="142" customFormat="1" ht="18" customHeight="1">
      <c r="A81" s="672" t="s">
        <v>4</v>
      </c>
      <c r="B81" s="398"/>
      <c r="C81" s="680" t="s">
        <v>1</v>
      </c>
      <c r="D81" s="681"/>
      <c r="E81" s="384" t="s">
        <v>9</v>
      </c>
      <c r="F81" s="385" t="s">
        <v>9</v>
      </c>
      <c r="G81" s="141" t="s">
        <v>25</v>
      </c>
      <c r="H81" s="385" t="s">
        <v>26</v>
      </c>
      <c r="I81" s="385" t="s">
        <v>27</v>
      </c>
      <c r="J81" s="186" t="s">
        <v>28</v>
      </c>
      <c r="K81" s="385" t="s">
        <v>29</v>
      </c>
      <c r="L81" s="385" t="s">
        <v>30</v>
      </c>
      <c r="M81" s="385" t="s">
        <v>31</v>
      </c>
      <c r="N81" s="385" t="s">
        <v>32</v>
      </c>
      <c r="O81" s="385" t="s">
        <v>33</v>
      </c>
      <c r="P81" s="385" t="s">
        <v>34</v>
      </c>
      <c r="Q81" s="385" t="s">
        <v>35</v>
      </c>
      <c r="R81" s="385" t="s">
        <v>36</v>
      </c>
      <c r="S81" s="186" t="s">
        <v>37</v>
      </c>
      <c r="T81" s="382" t="s">
        <v>25</v>
      </c>
      <c r="U81" s="386" t="s">
        <v>6</v>
      </c>
    </row>
    <row r="82" spans="1:21" s="142" customFormat="1" ht="18" customHeight="1">
      <c r="A82" s="673"/>
      <c r="B82" s="399" t="s">
        <v>8</v>
      </c>
      <c r="C82" s="133" t="s">
        <v>50</v>
      </c>
      <c r="D82" s="117" t="s">
        <v>53</v>
      </c>
      <c r="E82" s="134" t="s">
        <v>10</v>
      </c>
      <c r="F82" s="9" t="s">
        <v>11</v>
      </c>
      <c r="G82" s="387"/>
      <c r="H82" s="148"/>
      <c r="I82" s="148"/>
      <c r="J82" s="207"/>
      <c r="K82" s="148"/>
      <c r="L82" s="148"/>
      <c r="M82" s="148"/>
      <c r="N82" s="148"/>
      <c r="O82" s="148"/>
      <c r="P82" s="148"/>
      <c r="Q82" s="148"/>
      <c r="R82" s="148"/>
      <c r="S82" s="207"/>
      <c r="T82" s="140"/>
      <c r="U82" s="48" t="s">
        <v>5</v>
      </c>
    </row>
    <row r="83" spans="1:22" s="142" customFormat="1" ht="18" customHeight="1">
      <c r="A83" s="10" t="s">
        <v>380</v>
      </c>
      <c r="B83" s="664" t="s">
        <v>211</v>
      </c>
      <c r="C83" s="665"/>
      <c r="D83" s="23">
        <v>0</v>
      </c>
      <c r="E83" s="23"/>
      <c r="F83" s="23"/>
      <c r="G83" s="37">
        <f aca="true" t="shared" si="15" ref="G83:G96">+D83+E83-F83</f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139">
        <f aca="true" t="shared" si="16" ref="T83:T96">SUM(H83:S83)</f>
        <v>0</v>
      </c>
      <c r="U83" s="135">
        <f>G83-T83</f>
        <v>0</v>
      </c>
      <c r="V83" s="375"/>
    </row>
    <row r="84" spans="1:23" s="476" customFormat="1" ht="18" customHeight="1">
      <c r="A84" s="477" t="s">
        <v>454</v>
      </c>
      <c r="B84" s="666" t="s">
        <v>211</v>
      </c>
      <c r="C84" s="667"/>
      <c r="D84" s="443">
        <v>50000</v>
      </c>
      <c r="E84" s="443"/>
      <c r="F84" s="443">
        <v>20000</v>
      </c>
      <c r="G84" s="444">
        <f t="shared" si="15"/>
        <v>30000</v>
      </c>
      <c r="H84" s="456">
        <v>0</v>
      </c>
      <c r="I84" s="456">
        <v>0</v>
      </c>
      <c r="J84" s="456">
        <v>0</v>
      </c>
      <c r="K84" s="456">
        <v>0</v>
      </c>
      <c r="L84" s="456">
        <v>0</v>
      </c>
      <c r="M84" s="456">
        <f>5000+750+4000+1600+8000+3600</f>
        <v>22950</v>
      </c>
      <c r="N84" s="456"/>
      <c r="O84" s="456">
        <v>0</v>
      </c>
      <c r="P84" s="456">
        <v>0</v>
      </c>
      <c r="Q84" s="456">
        <v>0</v>
      </c>
      <c r="R84" s="456">
        <v>0</v>
      </c>
      <c r="S84" s="456">
        <v>0</v>
      </c>
      <c r="T84" s="446">
        <f t="shared" si="16"/>
        <v>22950</v>
      </c>
      <c r="U84" s="447">
        <f aca="true" t="shared" si="17" ref="U84:U96">G84-T84</f>
        <v>7050</v>
      </c>
      <c r="V84" s="448"/>
      <c r="W84" s="486"/>
    </row>
    <row r="85" spans="1:22" s="142" customFormat="1" ht="18" customHeight="1">
      <c r="A85" s="10" t="s">
        <v>379</v>
      </c>
      <c r="B85" s="664" t="s">
        <v>211</v>
      </c>
      <c r="C85" s="665"/>
      <c r="D85" s="23">
        <v>5000</v>
      </c>
      <c r="E85" s="23">
        <v>7000</v>
      </c>
      <c r="F85" s="23"/>
      <c r="G85" s="37">
        <f t="shared" si="15"/>
        <v>12000</v>
      </c>
      <c r="H85" s="26">
        <v>0</v>
      </c>
      <c r="I85" s="26">
        <v>760</v>
      </c>
      <c r="J85" s="26">
        <v>880</v>
      </c>
      <c r="K85" s="26">
        <v>760</v>
      </c>
      <c r="L85" s="26">
        <v>840</v>
      </c>
      <c r="M85" s="26">
        <v>800</v>
      </c>
      <c r="N85" s="26">
        <v>840</v>
      </c>
      <c r="O85" s="26">
        <v>680</v>
      </c>
      <c r="P85" s="26">
        <v>840</v>
      </c>
      <c r="Q85" s="26">
        <v>840</v>
      </c>
      <c r="R85" s="26">
        <v>800</v>
      </c>
      <c r="S85" s="26">
        <f>880+800</f>
        <v>1680</v>
      </c>
      <c r="T85" s="139">
        <f t="shared" si="16"/>
        <v>9720</v>
      </c>
      <c r="U85" s="135">
        <f t="shared" si="17"/>
        <v>2280</v>
      </c>
      <c r="V85" s="375"/>
    </row>
    <row r="86" spans="1:23" s="142" customFormat="1" ht="18" customHeight="1">
      <c r="A86" s="351" t="s">
        <v>453</v>
      </c>
      <c r="B86" s="664" t="s">
        <v>211</v>
      </c>
      <c r="C86" s="665"/>
      <c r="D86" s="23">
        <v>60000</v>
      </c>
      <c r="E86" s="23"/>
      <c r="F86" s="23"/>
      <c r="G86" s="37">
        <f t="shared" si="15"/>
        <v>60000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f>12000+12000+24300+450</f>
        <v>48750</v>
      </c>
      <c r="R86" s="26">
        <v>0</v>
      </c>
      <c r="S86" s="26">
        <v>0</v>
      </c>
      <c r="T86" s="139">
        <f t="shared" si="16"/>
        <v>48750</v>
      </c>
      <c r="U86" s="135">
        <f t="shared" si="17"/>
        <v>11250</v>
      </c>
      <c r="V86" s="375"/>
      <c r="W86" s="256"/>
    </row>
    <row r="87" spans="1:22" s="142" customFormat="1" ht="18" customHeight="1">
      <c r="A87" s="351" t="s">
        <v>466</v>
      </c>
      <c r="B87" s="664"/>
      <c r="C87" s="665"/>
      <c r="D87" s="23">
        <v>0</v>
      </c>
      <c r="E87" s="23">
        <v>20000</v>
      </c>
      <c r="F87" s="23"/>
      <c r="G87" s="37">
        <f t="shared" si="15"/>
        <v>20000</v>
      </c>
      <c r="H87" s="26">
        <v>0</v>
      </c>
      <c r="I87" s="26">
        <v>0</v>
      </c>
      <c r="J87" s="26">
        <v>0</v>
      </c>
      <c r="K87" s="26">
        <v>0</v>
      </c>
      <c r="L87" s="26">
        <f>2000+8750+5000+2000+732</f>
        <v>18482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139">
        <f t="shared" si="16"/>
        <v>18482</v>
      </c>
      <c r="U87" s="135">
        <f t="shared" si="17"/>
        <v>1518</v>
      </c>
      <c r="V87" s="256"/>
    </row>
    <row r="88" spans="1:21" s="142" customFormat="1" ht="18" customHeight="1">
      <c r="A88" s="351" t="s">
        <v>487</v>
      </c>
      <c r="B88" s="664" t="s">
        <v>209</v>
      </c>
      <c r="C88" s="665"/>
      <c r="D88" s="23">
        <v>0</v>
      </c>
      <c r="E88" s="23">
        <v>200000</v>
      </c>
      <c r="F88" s="23"/>
      <c r="G88" s="37">
        <f t="shared" si="15"/>
        <v>200000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f>200000</f>
        <v>200000</v>
      </c>
      <c r="Q88" s="26">
        <v>0</v>
      </c>
      <c r="R88" s="26">
        <v>0</v>
      </c>
      <c r="S88" s="26">
        <v>0</v>
      </c>
      <c r="T88" s="139">
        <f>SUM(H88:S88)</f>
        <v>200000</v>
      </c>
      <c r="U88" s="135">
        <f>G88-T88</f>
        <v>0</v>
      </c>
    </row>
    <row r="89" spans="1:22" s="142" customFormat="1" ht="18" customHeight="1">
      <c r="A89" s="351" t="s">
        <v>381</v>
      </c>
      <c r="B89" s="664" t="s">
        <v>211</v>
      </c>
      <c r="C89" s="665"/>
      <c r="D89" s="23">
        <v>30000</v>
      </c>
      <c r="E89" s="23"/>
      <c r="F89" s="23"/>
      <c r="G89" s="37">
        <f t="shared" si="15"/>
        <v>30000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1800</v>
      </c>
      <c r="O89" s="26">
        <f>250+450+18000+2400+7100</f>
        <v>28200</v>
      </c>
      <c r="P89" s="26">
        <v>0</v>
      </c>
      <c r="Q89" s="26">
        <v>0</v>
      </c>
      <c r="R89" s="26">
        <v>0</v>
      </c>
      <c r="S89" s="26">
        <v>0</v>
      </c>
      <c r="T89" s="139">
        <f>SUM(H89:S89)</f>
        <v>30000</v>
      </c>
      <c r="U89" s="135">
        <f>G89-T89</f>
        <v>0</v>
      </c>
      <c r="V89" s="256"/>
    </row>
    <row r="90" spans="1:22" s="142" customFormat="1" ht="18" customHeight="1">
      <c r="A90" s="351" t="s">
        <v>382</v>
      </c>
      <c r="B90" s="664" t="s">
        <v>211</v>
      </c>
      <c r="C90" s="665"/>
      <c r="D90" s="23">
        <v>10000</v>
      </c>
      <c r="E90" s="23"/>
      <c r="F90" s="23"/>
      <c r="G90" s="37">
        <f t="shared" si="15"/>
        <v>10000</v>
      </c>
      <c r="H90" s="26">
        <v>0</v>
      </c>
      <c r="I90" s="26">
        <v>0</v>
      </c>
      <c r="J90" s="26">
        <v>0</v>
      </c>
      <c r="K90" s="26">
        <f>1035+432</f>
        <v>1467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139">
        <f>SUM(H90:S90)</f>
        <v>1467</v>
      </c>
      <c r="U90" s="135">
        <f>G90-T90</f>
        <v>8533</v>
      </c>
      <c r="V90" s="256"/>
    </row>
    <row r="91" spans="1:22" s="476" customFormat="1" ht="18" customHeight="1">
      <c r="A91" s="484" t="s">
        <v>311</v>
      </c>
      <c r="B91" s="666" t="s">
        <v>383</v>
      </c>
      <c r="C91" s="667"/>
      <c r="D91" s="443">
        <v>20000</v>
      </c>
      <c r="E91" s="443"/>
      <c r="F91" s="443">
        <v>5000</v>
      </c>
      <c r="G91" s="444">
        <f>+D91+E91-F91</f>
        <v>15000</v>
      </c>
      <c r="H91" s="456">
        <v>0</v>
      </c>
      <c r="I91" s="456">
        <v>0</v>
      </c>
      <c r="J91" s="456">
        <v>0</v>
      </c>
      <c r="K91" s="456">
        <v>0</v>
      </c>
      <c r="L91" s="456">
        <v>0</v>
      </c>
      <c r="M91" s="456">
        <v>0</v>
      </c>
      <c r="N91" s="456">
        <v>0</v>
      </c>
      <c r="O91" s="456">
        <f>3492+2180+6250+3000</f>
        <v>14922</v>
      </c>
      <c r="P91" s="456">
        <v>0</v>
      </c>
      <c r="Q91" s="456">
        <v>0</v>
      </c>
      <c r="R91" s="456">
        <v>0</v>
      </c>
      <c r="S91" s="456">
        <v>0</v>
      </c>
      <c r="T91" s="446">
        <f>SUM(H91:S91)</f>
        <v>14922</v>
      </c>
      <c r="U91" s="447">
        <f>G91-T91</f>
        <v>78</v>
      </c>
      <c r="V91" s="486"/>
    </row>
    <row r="92" spans="1:22" s="142" customFormat="1" ht="18" customHeight="1">
      <c r="A92" s="351" t="s">
        <v>459</v>
      </c>
      <c r="B92" s="684" t="s">
        <v>243</v>
      </c>
      <c r="C92" s="685"/>
      <c r="D92" s="23">
        <v>50000</v>
      </c>
      <c r="E92" s="23"/>
      <c r="F92" s="23"/>
      <c r="G92" s="37">
        <f>+D92+E92-F92</f>
        <v>50000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f>10000+432+11620+3600</f>
        <v>25652</v>
      </c>
      <c r="S92" s="26">
        <v>0</v>
      </c>
      <c r="T92" s="139">
        <f>SUM(H92:S92)</f>
        <v>25652</v>
      </c>
      <c r="U92" s="135">
        <f>G92-T92</f>
        <v>24348</v>
      </c>
      <c r="V92" s="256"/>
    </row>
    <row r="93" spans="1:23" s="476" customFormat="1" ht="18" customHeight="1">
      <c r="A93" s="484" t="s">
        <v>387</v>
      </c>
      <c r="B93" s="682" t="s">
        <v>243</v>
      </c>
      <c r="C93" s="683"/>
      <c r="D93" s="443">
        <v>30000</v>
      </c>
      <c r="E93" s="458">
        <v>0</v>
      </c>
      <c r="F93" s="488"/>
      <c r="G93" s="444">
        <f t="shared" si="15"/>
        <v>30000</v>
      </c>
      <c r="H93" s="456">
        <v>0</v>
      </c>
      <c r="I93" s="456">
        <v>0</v>
      </c>
      <c r="J93" s="456">
        <v>0</v>
      </c>
      <c r="K93" s="456">
        <v>0</v>
      </c>
      <c r="L93" s="456">
        <v>0</v>
      </c>
      <c r="M93" s="456">
        <v>0</v>
      </c>
      <c r="N93" s="456">
        <v>0</v>
      </c>
      <c r="O93" s="456">
        <v>0</v>
      </c>
      <c r="P93" s="456">
        <v>0</v>
      </c>
      <c r="Q93" s="456">
        <v>0</v>
      </c>
      <c r="R93" s="456">
        <v>0</v>
      </c>
      <c r="S93" s="456">
        <v>0</v>
      </c>
      <c r="T93" s="447">
        <f t="shared" si="16"/>
        <v>0</v>
      </c>
      <c r="U93" s="447">
        <f t="shared" si="17"/>
        <v>30000</v>
      </c>
      <c r="W93" s="486"/>
    </row>
    <row r="94" spans="1:22" s="476" customFormat="1" ht="18" customHeight="1">
      <c r="A94" s="484" t="s">
        <v>388</v>
      </c>
      <c r="B94" s="682" t="s">
        <v>243</v>
      </c>
      <c r="C94" s="683"/>
      <c r="D94" s="443">
        <v>10000</v>
      </c>
      <c r="E94" s="461"/>
      <c r="F94" s="462"/>
      <c r="G94" s="444">
        <f t="shared" si="15"/>
        <v>10000</v>
      </c>
      <c r="H94" s="456">
        <v>0</v>
      </c>
      <c r="I94" s="456">
        <v>0</v>
      </c>
      <c r="J94" s="456">
        <v>0</v>
      </c>
      <c r="K94" s="456">
        <v>0</v>
      </c>
      <c r="L94" s="456">
        <v>0</v>
      </c>
      <c r="M94" s="456">
        <v>0</v>
      </c>
      <c r="N94" s="456">
        <v>0</v>
      </c>
      <c r="O94" s="456">
        <v>0</v>
      </c>
      <c r="P94" s="456">
        <v>0</v>
      </c>
      <c r="Q94" s="456">
        <v>0</v>
      </c>
      <c r="R94" s="456">
        <f>4900+2500+432</f>
        <v>7832</v>
      </c>
      <c r="S94" s="456">
        <v>0</v>
      </c>
      <c r="T94" s="447">
        <f>SUM(H94:S94)</f>
        <v>7832</v>
      </c>
      <c r="U94" s="447">
        <f>G94-T94</f>
        <v>2168</v>
      </c>
      <c r="V94" s="486"/>
    </row>
    <row r="95" spans="1:22" s="142" customFormat="1" ht="18" customHeight="1">
      <c r="A95" s="351" t="s">
        <v>457</v>
      </c>
      <c r="B95" s="684" t="s">
        <v>243</v>
      </c>
      <c r="C95" s="685"/>
      <c r="D95" s="23">
        <v>20000</v>
      </c>
      <c r="E95" s="354"/>
      <c r="F95" s="9"/>
      <c r="G95" s="37">
        <f t="shared" si="15"/>
        <v>20000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f>4375+432+3000+12180</f>
        <v>19987</v>
      </c>
      <c r="T95" s="135">
        <f t="shared" si="16"/>
        <v>19987</v>
      </c>
      <c r="U95" s="135">
        <f t="shared" si="17"/>
        <v>13</v>
      </c>
      <c r="V95" s="256"/>
    </row>
    <row r="96" spans="1:21" s="142" customFormat="1" ht="18" customHeight="1">
      <c r="A96" s="351" t="s">
        <v>458</v>
      </c>
      <c r="B96" s="684" t="s">
        <v>243</v>
      </c>
      <c r="C96" s="685"/>
      <c r="D96" s="23">
        <v>20000</v>
      </c>
      <c r="E96" s="354"/>
      <c r="F96" s="9"/>
      <c r="G96" s="37">
        <f t="shared" si="15"/>
        <v>20000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135">
        <f t="shared" si="16"/>
        <v>0</v>
      </c>
      <c r="U96" s="135">
        <f t="shared" si="17"/>
        <v>20000</v>
      </c>
    </row>
    <row r="97" spans="1:21" s="476" customFormat="1" ht="18" customHeight="1">
      <c r="A97" s="484" t="s">
        <v>452</v>
      </c>
      <c r="B97" s="670" t="s">
        <v>241</v>
      </c>
      <c r="C97" s="671"/>
      <c r="D97" s="443">
        <v>100000</v>
      </c>
      <c r="E97" s="461">
        <v>0</v>
      </c>
      <c r="F97" s="462"/>
      <c r="G97" s="444">
        <f>+D97+E97-F97</f>
        <v>100000</v>
      </c>
      <c r="H97" s="456">
        <v>0</v>
      </c>
      <c r="I97" s="456">
        <v>0</v>
      </c>
      <c r="J97" s="456">
        <v>0</v>
      </c>
      <c r="K97" s="456">
        <v>0</v>
      </c>
      <c r="L97" s="456">
        <v>0</v>
      </c>
      <c r="M97" s="456">
        <v>0</v>
      </c>
      <c r="N97" s="456">
        <v>0</v>
      </c>
      <c r="O97" s="456">
        <v>97500</v>
      </c>
      <c r="P97" s="456">
        <v>0</v>
      </c>
      <c r="Q97" s="456">
        <v>0</v>
      </c>
      <c r="R97" s="456">
        <v>0</v>
      </c>
      <c r="S97" s="456">
        <v>0</v>
      </c>
      <c r="T97" s="447">
        <f>SUM(H97:S97)</f>
        <v>97500</v>
      </c>
      <c r="U97" s="447">
        <f>G97-T97</f>
        <v>2500</v>
      </c>
    </row>
    <row r="98" spans="1:23" s="476" customFormat="1" ht="18" customHeight="1">
      <c r="A98" s="484" t="s">
        <v>400</v>
      </c>
      <c r="B98" s="670" t="s">
        <v>241</v>
      </c>
      <c r="C98" s="671"/>
      <c r="D98" s="485">
        <v>100000</v>
      </c>
      <c r="E98" s="461">
        <v>0</v>
      </c>
      <c r="F98" s="462">
        <v>6000</v>
      </c>
      <c r="G98" s="444">
        <f>+D98+E98-F98</f>
        <v>94000</v>
      </c>
      <c r="H98" s="456">
        <v>0</v>
      </c>
      <c r="I98" s="456">
        <v>0</v>
      </c>
      <c r="J98" s="456">
        <v>0</v>
      </c>
      <c r="K98" s="456">
        <v>0</v>
      </c>
      <c r="L98" s="456">
        <v>0</v>
      </c>
      <c r="M98" s="456">
        <v>0</v>
      </c>
      <c r="N98" s="456">
        <v>0</v>
      </c>
      <c r="O98" s="456">
        <f>16130+3363+10000</f>
        <v>29493</v>
      </c>
      <c r="P98" s="456">
        <f>21000+15000</f>
        <v>36000</v>
      </c>
      <c r="Q98" s="456">
        <v>13750</v>
      </c>
      <c r="R98" s="456">
        <v>6000</v>
      </c>
      <c r="S98" s="456">
        <v>0</v>
      </c>
      <c r="T98" s="447">
        <f>SUM(H98:S98)</f>
        <v>85243</v>
      </c>
      <c r="U98" s="447">
        <f>G98-T98</f>
        <v>8757</v>
      </c>
      <c r="W98" s="486"/>
    </row>
    <row r="99" spans="1:21" ht="18" customHeight="1">
      <c r="A99" s="17" t="s">
        <v>343</v>
      </c>
      <c r="B99" s="279" t="s">
        <v>160</v>
      </c>
      <c r="C99" s="400"/>
      <c r="D99" s="340">
        <f>D100</f>
        <v>100000</v>
      </c>
      <c r="E99" s="401"/>
      <c r="F99" s="9"/>
      <c r="G99" s="387"/>
      <c r="H99" s="148"/>
      <c r="I99" s="148"/>
      <c r="J99" s="207"/>
      <c r="K99" s="148"/>
      <c r="L99" s="148"/>
      <c r="M99" s="148"/>
      <c r="N99" s="148"/>
      <c r="O99" s="148"/>
      <c r="P99" s="148"/>
      <c r="Q99" s="148"/>
      <c r="R99" s="148"/>
      <c r="S99" s="207"/>
      <c r="T99" s="48"/>
      <c r="U99" s="48"/>
    </row>
    <row r="100" spans="1:22" ht="18" customHeight="1">
      <c r="A100" s="10" t="s">
        <v>161</v>
      </c>
      <c r="B100" s="18"/>
      <c r="C100" s="18"/>
      <c r="D100" s="23">
        <v>100000</v>
      </c>
      <c r="E100" s="395"/>
      <c r="F100" s="23"/>
      <c r="G100" s="37">
        <f>+D100+E100-F100</f>
        <v>100000</v>
      </c>
      <c r="H100" s="26">
        <v>0</v>
      </c>
      <c r="I100" s="26">
        <v>0</v>
      </c>
      <c r="J100" s="26">
        <v>600</v>
      </c>
      <c r="K100" s="26">
        <f>1230+500</f>
        <v>1730</v>
      </c>
      <c r="L100" s="26">
        <v>0</v>
      </c>
      <c r="M100" s="26">
        <v>0</v>
      </c>
      <c r="N100" s="26">
        <v>0</v>
      </c>
      <c r="O100" s="26">
        <f>300+9131.38+200</f>
        <v>9631.38</v>
      </c>
      <c r="P100" s="26">
        <v>0</v>
      </c>
      <c r="Q100" s="26">
        <v>14000</v>
      </c>
      <c r="R100" s="26">
        <v>1360</v>
      </c>
      <c r="S100" s="26">
        <f>4830+300</f>
        <v>5130</v>
      </c>
      <c r="T100" s="135">
        <f>SUM(H100:S100)</f>
        <v>32451.379999999997</v>
      </c>
      <c r="U100" s="135">
        <f>+G100-T100</f>
        <v>67548.62</v>
      </c>
      <c r="V100" s="375">
        <f>U100-67548.62</f>
        <v>0</v>
      </c>
    </row>
    <row r="101" spans="1:23" ht="18" customHeight="1" thickBot="1">
      <c r="A101" s="10"/>
      <c r="B101" s="18"/>
      <c r="C101" s="377"/>
      <c r="D101" s="24" t="s">
        <v>0</v>
      </c>
      <c r="E101" s="23"/>
      <c r="F101" s="23"/>
      <c r="G101" s="136">
        <f>SUM(G39:G100)</f>
        <v>2393000</v>
      </c>
      <c r="H101" s="136">
        <f aca="true" t="shared" si="18" ref="H101:U101">SUM(H39:H100)</f>
        <v>9900</v>
      </c>
      <c r="I101" s="136">
        <f t="shared" si="18"/>
        <v>53036</v>
      </c>
      <c r="J101" s="136">
        <f t="shared" si="18"/>
        <v>56346</v>
      </c>
      <c r="K101" s="136">
        <f t="shared" si="18"/>
        <v>165582</v>
      </c>
      <c r="L101" s="136">
        <f t="shared" si="18"/>
        <v>196070</v>
      </c>
      <c r="M101" s="402">
        <f t="shared" si="18"/>
        <v>91268</v>
      </c>
      <c r="N101" s="136">
        <f t="shared" si="18"/>
        <v>88754</v>
      </c>
      <c r="O101" s="136">
        <f t="shared" si="18"/>
        <v>303313.38</v>
      </c>
      <c r="P101" s="136">
        <f t="shared" si="18"/>
        <v>292429</v>
      </c>
      <c r="Q101" s="136">
        <f t="shared" si="18"/>
        <v>213668</v>
      </c>
      <c r="R101" s="136">
        <f t="shared" si="18"/>
        <v>153812</v>
      </c>
      <c r="S101" s="136">
        <f t="shared" si="18"/>
        <v>261643</v>
      </c>
      <c r="T101" s="136">
        <f t="shared" si="18"/>
        <v>1885821.38</v>
      </c>
      <c r="U101" s="136">
        <f t="shared" si="18"/>
        <v>507178.62</v>
      </c>
      <c r="V101" s="375"/>
      <c r="W101" s="375"/>
    </row>
    <row r="102" spans="1:21" ht="18" customHeight="1" thickTop="1">
      <c r="A102" s="17" t="s">
        <v>225</v>
      </c>
      <c r="B102" s="279" t="s">
        <v>162</v>
      </c>
      <c r="C102" s="668">
        <f>D103+D104+D105+D106+D107+D108+D109+D110+D111+D112+D113</f>
        <v>353000</v>
      </c>
      <c r="D102" s="669"/>
      <c r="E102" s="23"/>
      <c r="F102" s="23"/>
      <c r="G102" s="135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39"/>
      <c r="U102" s="139"/>
    </row>
    <row r="103" spans="1:21" ht="18" customHeight="1">
      <c r="A103" s="17" t="s">
        <v>344</v>
      </c>
      <c r="B103" s="279" t="s">
        <v>163</v>
      </c>
      <c r="C103" s="240"/>
      <c r="D103" s="23">
        <v>60000</v>
      </c>
      <c r="E103" s="23">
        <v>15000</v>
      </c>
      <c r="F103" s="23"/>
      <c r="G103" s="37">
        <f aca="true" t="shared" si="19" ref="G103:G114">+D103+E103-F103</f>
        <v>75000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50195</v>
      </c>
      <c r="N103" s="26">
        <v>0</v>
      </c>
      <c r="O103" s="26">
        <v>0</v>
      </c>
      <c r="P103" s="26">
        <v>0</v>
      </c>
      <c r="Q103" s="26">
        <v>0</v>
      </c>
      <c r="R103" s="26">
        <v>9450</v>
      </c>
      <c r="S103" s="26">
        <v>15355</v>
      </c>
      <c r="T103" s="135">
        <f aca="true" t="shared" si="20" ref="T103:T114">SUM(H103:S103)</f>
        <v>75000</v>
      </c>
      <c r="U103" s="135">
        <f aca="true" t="shared" si="21" ref="U103:U114">+G103-T103</f>
        <v>0</v>
      </c>
    </row>
    <row r="104" spans="1:21" ht="18" customHeight="1">
      <c r="A104" s="17" t="s">
        <v>345</v>
      </c>
      <c r="B104" s="279" t="s">
        <v>197</v>
      </c>
      <c r="C104" s="240"/>
      <c r="D104" s="23">
        <v>8000</v>
      </c>
      <c r="E104" s="23"/>
      <c r="F104" s="23"/>
      <c r="G104" s="37">
        <f t="shared" si="19"/>
        <v>8000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7930</v>
      </c>
      <c r="T104" s="135">
        <f t="shared" si="20"/>
        <v>7930</v>
      </c>
      <c r="U104" s="135">
        <f t="shared" si="21"/>
        <v>70</v>
      </c>
    </row>
    <row r="105" spans="1:21" ht="18" customHeight="1">
      <c r="A105" s="20"/>
      <c r="B105" s="279"/>
      <c r="C105" s="240"/>
      <c r="D105" s="23"/>
      <c r="E105" s="23"/>
      <c r="F105" s="23"/>
      <c r="G105" s="37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135"/>
      <c r="U105" s="135"/>
    </row>
    <row r="106" spans="1:21" ht="18" customHeight="1">
      <c r="A106" s="17" t="s">
        <v>346</v>
      </c>
      <c r="B106" s="279" t="s">
        <v>164</v>
      </c>
      <c r="C106" s="25"/>
      <c r="D106" s="23">
        <v>40000</v>
      </c>
      <c r="E106" s="23"/>
      <c r="F106" s="23">
        <v>5000</v>
      </c>
      <c r="G106" s="37">
        <f t="shared" si="19"/>
        <v>35000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13939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9465</v>
      </c>
      <c r="T106" s="135">
        <f t="shared" si="20"/>
        <v>23404</v>
      </c>
      <c r="U106" s="135">
        <f t="shared" si="21"/>
        <v>11596</v>
      </c>
    </row>
    <row r="107" spans="1:21" ht="18" customHeight="1">
      <c r="A107" s="17" t="s">
        <v>347</v>
      </c>
      <c r="B107" s="279" t="s">
        <v>220</v>
      </c>
      <c r="C107" s="25"/>
      <c r="D107" s="23">
        <v>8000</v>
      </c>
      <c r="E107" s="23"/>
      <c r="F107" s="23"/>
      <c r="G107" s="37">
        <f>+D107+E107-F107</f>
        <v>8000</v>
      </c>
      <c r="H107" s="26">
        <v>0</v>
      </c>
      <c r="I107" s="26">
        <v>0</v>
      </c>
      <c r="J107" s="26">
        <v>0</v>
      </c>
      <c r="K107" s="26">
        <v>0</v>
      </c>
      <c r="L107" s="26">
        <v>1725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135">
        <f t="shared" si="20"/>
        <v>1725</v>
      </c>
      <c r="U107" s="135">
        <f t="shared" si="21"/>
        <v>6275</v>
      </c>
    </row>
    <row r="108" spans="1:21" ht="18" customHeight="1">
      <c r="A108" s="17" t="s">
        <v>348</v>
      </c>
      <c r="B108" s="279" t="s">
        <v>165</v>
      </c>
      <c r="C108" s="25"/>
      <c r="D108" s="23">
        <v>35000</v>
      </c>
      <c r="E108" s="23"/>
      <c r="F108" s="23"/>
      <c r="G108" s="37">
        <f>+D108+E108-F108</f>
        <v>35000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3000</v>
      </c>
      <c r="P108" s="26">
        <v>0</v>
      </c>
      <c r="Q108" s="26">
        <v>0</v>
      </c>
      <c r="R108" s="26">
        <v>0</v>
      </c>
      <c r="S108" s="26">
        <v>0</v>
      </c>
      <c r="T108" s="135">
        <f t="shared" si="20"/>
        <v>3000</v>
      </c>
      <c r="U108" s="135">
        <f t="shared" si="21"/>
        <v>32000</v>
      </c>
    </row>
    <row r="109" spans="1:22" ht="18" customHeight="1">
      <c r="A109" s="17" t="s">
        <v>349</v>
      </c>
      <c r="B109" s="279" t="s">
        <v>166</v>
      </c>
      <c r="C109" s="240"/>
      <c r="D109" s="23">
        <v>100000</v>
      </c>
      <c r="E109" s="403">
        <v>0</v>
      </c>
      <c r="F109" s="23"/>
      <c r="G109" s="37">
        <f t="shared" si="19"/>
        <v>100000</v>
      </c>
      <c r="H109" s="26">
        <v>0</v>
      </c>
      <c r="I109" s="26">
        <v>0</v>
      </c>
      <c r="J109" s="26">
        <f>5060+9090</f>
        <v>14150</v>
      </c>
      <c r="K109" s="26">
        <v>7190</v>
      </c>
      <c r="L109" s="26">
        <v>8970</v>
      </c>
      <c r="M109" s="26">
        <v>6960</v>
      </c>
      <c r="N109" s="26">
        <v>8690</v>
      </c>
      <c r="O109" s="26">
        <v>9050</v>
      </c>
      <c r="P109" s="26">
        <v>9840</v>
      </c>
      <c r="Q109" s="26">
        <v>7020</v>
      </c>
      <c r="R109" s="26">
        <v>7740</v>
      </c>
      <c r="S109" s="26">
        <v>13600</v>
      </c>
      <c r="T109" s="135">
        <f t="shared" si="20"/>
        <v>93210</v>
      </c>
      <c r="U109" s="135">
        <f t="shared" si="21"/>
        <v>6790</v>
      </c>
      <c r="V109" s="375"/>
    </row>
    <row r="110" spans="1:21" ht="18" customHeight="1">
      <c r="A110" s="17" t="s">
        <v>350</v>
      </c>
      <c r="B110" s="279" t="s">
        <v>221</v>
      </c>
      <c r="C110" s="240"/>
      <c r="D110" s="23">
        <v>7000</v>
      </c>
      <c r="E110" s="403"/>
      <c r="F110" s="23">
        <v>0</v>
      </c>
      <c r="G110" s="37">
        <f t="shared" si="19"/>
        <v>7000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135">
        <f t="shared" si="20"/>
        <v>0</v>
      </c>
      <c r="U110" s="135">
        <f t="shared" si="21"/>
        <v>7000</v>
      </c>
    </row>
    <row r="111" spans="1:21" ht="18" customHeight="1">
      <c r="A111" s="17" t="s">
        <v>351</v>
      </c>
      <c r="B111" s="279" t="s">
        <v>167</v>
      </c>
      <c r="C111" s="240"/>
      <c r="D111" s="23">
        <v>5000</v>
      </c>
      <c r="E111" s="403"/>
      <c r="F111" s="23">
        <v>0</v>
      </c>
      <c r="G111" s="37">
        <f t="shared" si="19"/>
        <v>5000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135">
        <f t="shared" si="20"/>
        <v>0</v>
      </c>
      <c r="U111" s="135">
        <f t="shared" si="21"/>
        <v>5000</v>
      </c>
    </row>
    <row r="112" spans="1:21" ht="18" customHeight="1">
      <c r="A112" s="404" t="s">
        <v>352</v>
      </c>
      <c r="B112" s="279"/>
      <c r="C112" s="240"/>
      <c r="D112" s="23">
        <v>80000</v>
      </c>
      <c r="E112" s="403"/>
      <c r="F112" s="23">
        <v>10000</v>
      </c>
      <c r="G112" s="37">
        <f t="shared" si="19"/>
        <v>70000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26420</v>
      </c>
      <c r="O112" s="26">
        <v>0</v>
      </c>
      <c r="P112" s="26">
        <v>0</v>
      </c>
      <c r="Q112" s="26">
        <v>0</v>
      </c>
      <c r="R112" s="26">
        <v>0</v>
      </c>
      <c r="S112" s="26">
        <v>43220</v>
      </c>
      <c r="T112" s="135">
        <f t="shared" si="20"/>
        <v>69640</v>
      </c>
      <c r="U112" s="135">
        <f t="shared" si="21"/>
        <v>360</v>
      </c>
    </row>
    <row r="113" spans="1:21" ht="18" customHeight="1">
      <c r="A113" s="17" t="s">
        <v>353</v>
      </c>
      <c r="B113" s="279" t="s">
        <v>193</v>
      </c>
      <c r="C113" s="405" t="s">
        <v>243</v>
      </c>
      <c r="D113" s="23">
        <v>10000</v>
      </c>
      <c r="E113" s="403"/>
      <c r="F113" s="23"/>
      <c r="G113" s="37">
        <f t="shared" si="19"/>
        <v>10000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9835</v>
      </c>
      <c r="T113" s="135">
        <f t="shared" si="20"/>
        <v>9835</v>
      </c>
      <c r="U113" s="135">
        <f t="shared" si="21"/>
        <v>165</v>
      </c>
    </row>
    <row r="114" spans="1:21" ht="18" customHeight="1">
      <c r="A114" s="17" t="s">
        <v>354</v>
      </c>
      <c r="B114" s="279" t="s">
        <v>185</v>
      </c>
      <c r="C114" s="406" t="s">
        <v>209</v>
      </c>
      <c r="D114" s="339"/>
      <c r="E114" s="395"/>
      <c r="F114" s="23"/>
      <c r="G114" s="37">
        <f t="shared" si="19"/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135">
        <f t="shared" si="20"/>
        <v>0</v>
      </c>
      <c r="U114" s="135">
        <f t="shared" si="21"/>
        <v>0</v>
      </c>
    </row>
    <row r="115" spans="1:21" ht="18" customHeight="1" thickBot="1">
      <c r="A115" s="17"/>
      <c r="B115" s="18"/>
      <c r="C115" s="18"/>
      <c r="D115" s="341" t="s">
        <v>0</v>
      </c>
      <c r="E115" s="395"/>
      <c r="F115" s="23"/>
      <c r="G115" s="136">
        <f>SUM(G103:G114)</f>
        <v>353000</v>
      </c>
      <c r="H115" s="136">
        <f aca="true" t="shared" si="22" ref="H115:U115">SUM(H103:H114)</f>
        <v>0</v>
      </c>
      <c r="I115" s="136">
        <f t="shared" si="22"/>
        <v>0</v>
      </c>
      <c r="J115" s="136">
        <f t="shared" si="22"/>
        <v>14150</v>
      </c>
      <c r="K115" s="136">
        <f t="shared" si="22"/>
        <v>7190</v>
      </c>
      <c r="L115" s="136">
        <f t="shared" si="22"/>
        <v>10695</v>
      </c>
      <c r="M115" s="136">
        <f t="shared" si="22"/>
        <v>71094</v>
      </c>
      <c r="N115" s="136">
        <f t="shared" si="22"/>
        <v>35110</v>
      </c>
      <c r="O115" s="136">
        <f t="shared" si="22"/>
        <v>12050</v>
      </c>
      <c r="P115" s="136">
        <f t="shared" si="22"/>
        <v>9840</v>
      </c>
      <c r="Q115" s="136">
        <f t="shared" si="22"/>
        <v>7020</v>
      </c>
      <c r="R115" s="136">
        <f t="shared" si="22"/>
        <v>17190</v>
      </c>
      <c r="S115" s="136">
        <f t="shared" si="22"/>
        <v>99405</v>
      </c>
      <c r="T115" s="42">
        <f t="shared" si="22"/>
        <v>283744</v>
      </c>
      <c r="U115" s="42">
        <f t="shared" si="22"/>
        <v>69256</v>
      </c>
    </row>
    <row r="116" spans="1:22" ht="18" customHeight="1" thickTop="1">
      <c r="A116" s="10"/>
      <c r="B116" s="18"/>
      <c r="C116" s="18"/>
      <c r="D116" s="24" t="s">
        <v>7</v>
      </c>
      <c r="E116" s="395"/>
      <c r="F116" s="23"/>
      <c r="G116" s="135">
        <f>G101+G115</f>
        <v>2746000</v>
      </c>
      <c r="H116" s="135">
        <f aca="true" t="shared" si="23" ref="H116:U116">H115+H101+H32</f>
        <v>9900</v>
      </c>
      <c r="I116" s="135">
        <f t="shared" si="23"/>
        <v>72914.25</v>
      </c>
      <c r="J116" s="135">
        <f t="shared" si="23"/>
        <v>86996</v>
      </c>
      <c r="K116" s="135">
        <f t="shared" si="23"/>
        <v>186272</v>
      </c>
      <c r="L116" s="135">
        <f t="shared" si="23"/>
        <v>226265</v>
      </c>
      <c r="M116" s="135">
        <f t="shared" si="23"/>
        <v>175862</v>
      </c>
      <c r="N116" s="135">
        <f t="shared" si="23"/>
        <v>140764</v>
      </c>
      <c r="O116" s="135">
        <f t="shared" si="23"/>
        <v>328863.38</v>
      </c>
      <c r="P116" s="135">
        <f t="shared" si="23"/>
        <v>328112.5</v>
      </c>
      <c r="Q116" s="135">
        <f t="shared" si="23"/>
        <v>234188</v>
      </c>
      <c r="R116" s="135">
        <f t="shared" si="23"/>
        <v>184502</v>
      </c>
      <c r="S116" s="135">
        <f t="shared" si="23"/>
        <v>978648</v>
      </c>
      <c r="T116" s="135">
        <f t="shared" si="23"/>
        <v>2953287.13</v>
      </c>
      <c r="U116" s="135">
        <f t="shared" si="23"/>
        <v>632712.87</v>
      </c>
      <c r="V116" s="375"/>
    </row>
    <row r="117" spans="1:21" ht="18" customHeight="1">
      <c r="A117" s="17" t="s">
        <v>226</v>
      </c>
      <c r="B117" s="279" t="s">
        <v>169</v>
      </c>
      <c r="C117" s="708">
        <f>D118+D119+D120+D121+D122</f>
        <v>235000</v>
      </c>
      <c r="D117" s="709"/>
      <c r="E117" s="395"/>
      <c r="F117" s="23"/>
      <c r="G117" s="1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139"/>
      <c r="U117" s="139"/>
    </row>
    <row r="118" spans="1:23" ht="18" customHeight="1">
      <c r="A118" s="407" t="s">
        <v>227</v>
      </c>
      <c r="B118" s="279" t="s">
        <v>170</v>
      </c>
      <c r="C118" s="18"/>
      <c r="D118" s="23">
        <v>120000</v>
      </c>
      <c r="E118" s="395"/>
      <c r="F118" s="23"/>
      <c r="G118" s="37">
        <f>+D118+E118-F118</f>
        <v>120000</v>
      </c>
      <c r="H118" s="26">
        <v>10468.87</v>
      </c>
      <c r="I118" s="26">
        <f>8465.42+527.9</f>
        <v>8993.32</v>
      </c>
      <c r="J118" s="26">
        <v>5883.75</v>
      </c>
      <c r="K118" s="26">
        <v>6200.7</v>
      </c>
      <c r="L118" s="26">
        <f>4876.72+4896.8</f>
        <v>9773.52</v>
      </c>
      <c r="M118" s="26">
        <v>0</v>
      </c>
      <c r="N118" s="26">
        <v>8146.58</v>
      </c>
      <c r="O118" s="26">
        <v>9687.21</v>
      </c>
      <c r="P118" s="26">
        <v>9947.99</v>
      </c>
      <c r="Q118" s="26">
        <v>9911.88</v>
      </c>
      <c r="R118" s="26">
        <f>10413.39+8371.24</f>
        <v>18784.629999999997</v>
      </c>
      <c r="S118" s="26">
        <v>8981.08</v>
      </c>
      <c r="T118" s="135">
        <f>SUM(H118:S118)</f>
        <v>106779.53000000001</v>
      </c>
      <c r="U118" s="135">
        <f>+G118-T118</f>
        <v>13220.469999999987</v>
      </c>
      <c r="W118" s="375"/>
    </row>
    <row r="119" spans="1:21" ht="18" customHeight="1">
      <c r="A119" s="407" t="s">
        <v>228</v>
      </c>
      <c r="B119" s="279" t="s">
        <v>171</v>
      </c>
      <c r="C119" s="18"/>
      <c r="D119" s="23">
        <v>50000</v>
      </c>
      <c r="E119" s="395"/>
      <c r="F119" s="23"/>
      <c r="G119" s="37">
        <f>+D119+E119-F119</f>
        <v>50000</v>
      </c>
      <c r="H119" s="26">
        <v>1772.35</v>
      </c>
      <c r="I119" s="26">
        <v>5532.65</v>
      </c>
      <c r="J119" s="26">
        <v>0</v>
      </c>
      <c r="K119" s="26">
        <v>18692.37</v>
      </c>
      <c r="L119" s="26">
        <v>4418.14</v>
      </c>
      <c r="M119" s="26">
        <v>1240.77</v>
      </c>
      <c r="N119" s="26">
        <v>1656.79</v>
      </c>
      <c r="O119" s="26">
        <v>1356.33</v>
      </c>
      <c r="P119" s="26">
        <v>1240.77</v>
      </c>
      <c r="Q119" s="26">
        <v>1587.45</v>
      </c>
      <c r="R119" s="26">
        <v>2281.99</v>
      </c>
      <c r="S119" s="26">
        <v>2027.12</v>
      </c>
      <c r="T119" s="135">
        <f>SUM(H119:S119)</f>
        <v>41806.729999999996</v>
      </c>
      <c r="U119" s="135">
        <f>+G119-T119</f>
        <v>8193.270000000004</v>
      </c>
    </row>
    <row r="120" spans="1:22" ht="18" customHeight="1">
      <c r="A120" s="407" t="s">
        <v>229</v>
      </c>
      <c r="B120" s="279" t="s">
        <v>172</v>
      </c>
      <c r="C120" s="18"/>
      <c r="D120" s="23">
        <v>15000</v>
      </c>
      <c r="E120" s="395"/>
      <c r="F120" s="23"/>
      <c r="G120" s="37">
        <f>+D120+E120-F120</f>
        <v>15000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135">
        <f>SUM(H120:S120)</f>
        <v>0</v>
      </c>
      <c r="U120" s="135">
        <f>+G120-T120</f>
        <v>15000</v>
      </c>
      <c r="V120" s="375"/>
    </row>
    <row r="121" spans="1:21" ht="18" customHeight="1">
      <c r="A121" s="407" t="s">
        <v>230</v>
      </c>
      <c r="B121" s="279" t="s">
        <v>173</v>
      </c>
      <c r="C121" s="18"/>
      <c r="D121" s="23">
        <v>10000</v>
      </c>
      <c r="E121" s="403"/>
      <c r="F121" s="23"/>
      <c r="G121" s="37">
        <f>+D121+E121-F121</f>
        <v>10000</v>
      </c>
      <c r="H121" s="26">
        <v>0</v>
      </c>
      <c r="I121" s="26">
        <v>0</v>
      </c>
      <c r="J121" s="26">
        <v>297</v>
      </c>
      <c r="K121" s="26">
        <v>2023</v>
      </c>
      <c r="L121" s="26">
        <v>389</v>
      </c>
      <c r="M121" s="26">
        <v>0</v>
      </c>
      <c r="N121" s="26">
        <v>213</v>
      </c>
      <c r="O121" s="26">
        <v>0</v>
      </c>
      <c r="P121" s="26">
        <v>148</v>
      </c>
      <c r="Q121" s="26">
        <v>0</v>
      </c>
      <c r="R121" s="26">
        <v>0</v>
      </c>
      <c r="S121" s="26">
        <v>0</v>
      </c>
      <c r="T121" s="135">
        <f>SUM(H121:S121)</f>
        <v>3070</v>
      </c>
      <c r="U121" s="135">
        <f>+G121-T121</f>
        <v>6930</v>
      </c>
    </row>
    <row r="122" spans="1:22" ht="18" customHeight="1">
      <c r="A122" s="407" t="s">
        <v>231</v>
      </c>
      <c r="C122" s="18"/>
      <c r="D122" s="23">
        <v>40000</v>
      </c>
      <c r="E122" s="23"/>
      <c r="F122" s="23"/>
      <c r="G122" s="50">
        <f>+D122+E122-F122</f>
        <v>40000</v>
      </c>
      <c r="H122" s="26">
        <v>1339.64</v>
      </c>
      <c r="I122" s="26">
        <f>918+1354.62</f>
        <v>2272.62</v>
      </c>
      <c r="J122" s="26">
        <v>1350.88</v>
      </c>
      <c r="K122" s="26">
        <f>2400+1339.11</f>
        <v>3739.1099999999997</v>
      </c>
      <c r="L122" s="26">
        <v>1354.09</v>
      </c>
      <c r="M122" s="26">
        <v>1340.71</v>
      </c>
      <c r="N122" s="26">
        <v>1336.43</v>
      </c>
      <c r="O122" s="26">
        <v>1338.57</v>
      </c>
      <c r="P122" s="26">
        <v>1344.46</v>
      </c>
      <c r="Q122" s="26">
        <v>1348.74</v>
      </c>
      <c r="R122" s="26">
        <v>1344.46</v>
      </c>
      <c r="S122" s="26">
        <v>1336.43</v>
      </c>
      <c r="T122" s="135">
        <f>SUM(H122:S122)</f>
        <v>19446.14</v>
      </c>
      <c r="U122" s="135">
        <f>+G122-T122</f>
        <v>20553.86</v>
      </c>
      <c r="V122" s="375"/>
    </row>
    <row r="123" spans="1:22" ht="18" customHeight="1" thickBot="1">
      <c r="A123" s="10"/>
      <c r="B123" s="18"/>
      <c r="C123" s="18"/>
      <c r="D123" s="341" t="s">
        <v>0</v>
      </c>
      <c r="E123" s="395"/>
      <c r="F123" s="23"/>
      <c r="G123" s="136">
        <f>SUM(G118:G122)</f>
        <v>235000</v>
      </c>
      <c r="H123" s="136">
        <f aca="true" t="shared" si="24" ref="H123:U123">SUM(H118:H122)</f>
        <v>13580.86</v>
      </c>
      <c r="I123" s="136">
        <f t="shared" si="24"/>
        <v>16798.59</v>
      </c>
      <c r="J123" s="136">
        <f t="shared" si="24"/>
        <v>7531.63</v>
      </c>
      <c r="K123" s="136">
        <f t="shared" si="24"/>
        <v>30655.18</v>
      </c>
      <c r="L123" s="136">
        <f t="shared" si="24"/>
        <v>15934.75</v>
      </c>
      <c r="M123" s="136">
        <f t="shared" si="24"/>
        <v>2581.48</v>
      </c>
      <c r="N123" s="136">
        <f t="shared" si="24"/>
        <v>11352.8</v>
      </c>
      <c r="O123" s="136">
        <f t="shared" si="24"/>
        <v>12382.109999999999</v>
      </c>
      <c r="P123" s="136">
        <f t="shared" si="24"/>
        <v>12681.220000000001</v>
      </c>
      <c r="Q123" s="136">
        <f t="shared" si="24"/>
        <v>12848.07</v>
      </c>
      <c r="R123" s="136">
        <f t="shared" si="24"/>
        <v>22411.079999999994</v>
      </c>
      <c r="S123" s="136">
        <f t="shared" si="24"/>
        <v>12344.630000000001</v>
      </c>
      <c r="T123" s="136">
        <f t="shared" si="24"/>
        <v>171102.40000000002</v>
      </c>
      <c r="U123" s="136">
        <f t="shared" si="24"/>
        <v>63897.59999999999</v>
      </c>
      <c r="V123" s="375"/>
    </row>
    <row r="124" spans="1:21" ht="21" customHeight="1" thickTop="1">
      <c r="A124" s="676" t="s">
        <v>24</v>
      </c>
      <c r="B124" s="677"/>
      <c r="C124" s="677"/>
      <c r="D124" s="677"/>
      <c r="E124" s="677"/>
      <c r="F124" s="677"/>
      <c r="G124" s="677"/>
      <c r="H124" s="677"/>
      <c r="I124" s="677"/>
      <c r="J124" s="677"/>
      <c r="K124" s="677"/>
      <c r="L124" s="677"/>
      <c r="M124" s="677"/>
      <c r="N124" s="677"/>
      <c r="O124" s="677"/>
      <c r="P124" s="677"/>
      <c r="Q124" s="677"/>
      <c r="R124" s="677"/>
      <c r="S124" s="677"/>
      <c r="T124" s="677"/>
      <c r="U124" s="677"/>
    </row>
    <row r="125" spans="1:21" ht="21" customHeight="1">
      <c r="A125" s="658" t="s">
        <v>489</v>
      </c>
      <c r="B125" s="658"/>
      <c r="C125" s="658"/>
      <c r="D125" s="658"/>
      <c r="E125" s="658"/>
      <c r="F125" s="658"/>
      <c r="G125" s="658"/>
      <c r="H125" s="658"/>
      <c r="I125" s="658"/>
      <c r="J125" s="658"/>
      <c r="K125" s="658"/>
      <c r="L125" s="658"/>
      <c r="M125" s="658"/>
      <c r="N125" s="658"/>
      <c r="O125" s="658"/>
      <c r="P125" s="658"/>
      <c r="Q125" s="658"/>
      <c r="R125" s="658"/>
      <c r="S125" s="658"/>
      <c r="T125" s="658"/>
      <c r="U125" s="658"/>
    </row>
    <row r="126" spans="1:21" ht="21" customHeight="1">
      <c r="A126" s="672" t="s">
        <v>4</v>
      </c>
      <c r="B126" s="398"/>
      <c r="C126" s="680" t="s">
        <v>1</v>
      </c>
      <c r="D126" s="681"/>
      <c r="E126" s="384" t="s">
        <v>9</v>
      </c>
      <c r="F126" s="385" t="s">
        <v>9</v>
      </c>
      <c r="G126" s="141" t="s">
        <v>25</v>
      </c>
      <c r="H126" s="385" t="s">
        <v>26</v>
      </c>
      <c r="I126" s="385" t="s">
        <v>27</v>
      </c>
      <c r="J126" s="186" t="s">
        <v>28</v>
      </c>
      <c r="K126" s="385" t="s">
        <v>29</v>
      </c>
      <c r="L126" s="385" t="s">
        <v>30</v>
      </c>
      <c r="M126" s="385" t="s">
        <v>31</v>
      </c>
      <c r="N126" s="385" t="s">
        <v>32</v>
      </c>
      <c r="O126" s="385" t="s">
        <v>33</v>
      </c>
      <c r="P126" s="385" t="s">
        <v>34</v>
      </c>
      <c r="Q126" s="385" t="s">
        <v>35</v>
      </c>
      <c r="R126" s="385" t="s">
        <v>36</v>
      </c>
      <c r="S126" s="186" t="s">
        <v>37</v>
      </c>
      <c r="T126" s="382" t="s">
        <v>25</v>
      </c>
      <c r="U126" s="386" t="s">
        <v>6</v>
      </c>
    </row>
    <row r="127" spans="1:21" ht="17.25" customHeight="1">
      <c r="A127" s="673"/>
      <c r="B127" s="399" t="s">
        <v>8</v>
      </c>
      <c r="C127" s="133" t="s">
        <v>50</v>
      </c>
      <c r="D127" s="117" t="s">
        <v>53</v>
      </c>
      <c r="E127" s="134" t="s">
        <v>10</v>
      </c>
      <c r="F127" s="9" t="s">
        <v>11</v>
      </c>
      <c r="G127" s="387"/>
      <c r="H127" s="148"/>
      <c r="I127" s="148"/>
      <c r="J127" s="207"/>
      <c r="K127" s="148"/>
      <c r="L127" s="148"/>
      <c r="M127" s="148"/>
      <c r="N127" s="148"/>
      <c r="O127" s="148"/>
      <c r="P127" s="148"/>
      <c r="Q127" s="148"/>
      <c r="R127" s="148"/>
      <c r="S127" s="207"/>
      <c r="T127" s="140"/>
      <c r="U127" s="48" t="s">
        <v>5</v>
      </c>
    </row>
    <row r="128" spans="1:21" ht="17.25" customHeight="1">
      <c r="A128" s="20" t="s">
        <v>355</v>
      </c>
      <c r="B128" s="34"/>
      <c r="C128" s="41"/>
      <c r="D128" s="342"/>
      <c r="E128" s="342"/>
      <c r="F128" s="342"/>
      <c r="G128" s="139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135"/>
      <c r="U128" s="135"/>
    </row>
    <row r="129" spans="1:21" ht="17.25" customHeight="1">
      <c r="A129" s="17" t="s">
        <v>232</v>
      </c>
      <c r="B129" s="18"/>
      <c r="C129" s="678">
        <f>C130+C150</f>
        <v>45800</v>
      </c>
      <c r="D129" s="679"/>
      <c r="E129" s="23"/>
      <c r="F129" s="23"/>
      <c r="G129" s="135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135"/>
      <c r="U129" s="135"/>
    </row>
    <row r="130" spans="1:21" ht="17.25" customHeight="1">
      <c r="A130" s="17" t="s">
        <v>239</v>
      </c>
      <c r="B130" s="279" t="s">
        <v>177</v>
      </c>
      <c r="C130" s="690">
        <f>C131+C136+C141+C143</f>
        <v>45800</v>
      </c>
      <c r="D130" s="691"/>
      <c r="E130" s="23"/>
      <c r="F130" s="23"/>
      <c r="G130" s="13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135"/>
      <c r="U130" s="135"/>
    </row>
    <row r="131" spans="1:21" ht="17.25" customHeight="1">
      <c r="A131" s="17" t="s">
        <v>240</v>
      </c>
      <c r="B131" s="279" t="s">
        <v>178</v>
      </c>
      <c r="C131" s="690">
        <f>D132+D133+D134+D135</f>
        <v>21400</v>
      </c>
      <c r="D131" s="691"/>
      <c r="E131" s="23"/>
      <c r="F131" s="23"/>
      <c r="G131" s="13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135"/>
      <c r="U131" s="135"/>
    </row>
    <row r="132" spans="1:21" ht="17.25" customHeight="1">
      <c r="A132" s="10" t="s">
        <v>416</v>
      </c>
      <c r="B132" s="18"/>
      <c r="C132" s="240"/>
      <c r="D132" s="343">
        <v>5500</v>
      </c>
      <c r="E132" s="23"/>
      <c r="F132" s="23"/>
      <c r="G132" s="155">
        <f>+D132+E132-F132</f>
        <v>5500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5500</v>
      </c>
      <c r="P132" s="39">
        <v>0</v>
      </c>
      <c r="Q132" s="39">
        <v>0</v>
      </c>
      <c r="R132" s="39">
        <v>0</v>
      </c>
      <c r="S132" s="39">
        <v>0</v>
      </c>
      <c r="T132" s="135">
        <f>SUM(H132:S132)</f>
        <v>5500</v>
      </c>
      <c r="U132" s="135">
        <f>+G132-T132</f>
        <v>0</v>
      </c>
    </row>
    <row r="133" spans="1:21" ht="17.25" customHeight="1">
      <c r="A133" s="10" t="s">
        <v>417</v>
      </c>
      <c r="B133" s="18"/>
      <c r="C133" s="240"/>
      <c r="D133" s="23">
        <v>4400</v>
      </c>
      <c r="E133" s="23"/>
      <c r="F133" s="23"/>
      <c r="G133" s="37">
        <f>+D133+E133-F133</f>
        <v>4400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4400</v>
      </c>
      <c r="P133" s="39">
        <v>0</v>
      </c>
      <c r="Q133" s="39">
        <v>0</v>
      </c>
      <c r="R133" s="39">
        <v>0</v>
      </c>
      <c r="S133" s="39">
        <v>0</v>
      </c>
      <c r="T133" s="135">
        <f>SUM(H133:S133)</f>
        <v>4400</v>
      </c>
      <c r="U133" s="135">
        <f>+G133-T133</f>
        <v>0</v>
      </c>
    </row>
    <row r="134" spans="1:21" s="302" customFormat="1" ht="17.25" customHeight="1">
      <c r="A134" s="449" t="s">
        <v>418</v>
      </c>
      <c r="B134" s="450"/>
      <c r="C134" s="451"/>
      <c r="D134" s="443">
        <v>8500</v>
      </c>
      <c r="E134" s="443"/>
      <c r="F134" s="443">
        <v>5000</v>
      </c>
      <c r="G134" s="444">
        <f>+D134+E134-F134</f>
        <v>3500</v>
      </c>
      <c r="H134" s="452">
        <v>0</v>
      </c>
      <c r="I134" s="452">
        <v>0</v>
      </c>
      <c r="J134" s="452">
        <v>0</v>
      </c>
      <c r="K134" s="452">
        <v>0</v>
      </c>
      <c r="L134" s="452">
        <v>0</v>
      </c>
      <c r="M134" s="452">
        <v>0</v>
      </c>
      <c r="N134" s="452">
        <v>0</v>
      </c>
      <c r="O134" s="452">
        <v>0</v>
      </c>
      <c r="P134" s="452">
        <v>0</v>
      </c>
      <c r="Q134" s="452">
        <v>0</v>
      </c>
      <c r="R134" s="452">
        <v>0</v>
      </c>
      <c r="S134" s="452">
        <v>0</v>
      </c>
      <c r="T134" s="447">
        <f>SUM(H134:S134)</f>
        <v>0</v>
      </c>
      <c r="U134" s="447">
        <f>+G134-T134</f>
        <v>3500</v>
      </c>
    </row>
    <row r="135" spans="1:21" ht="17.25" customHeight="1">
      <c r="A135" s="10" t="s">
        <v>419</v>
      </c>
      <c r="B135" s="18"/>
      <c r="C135" s="240"/>
      <c r="D135" s="23">
        <v>3000</v>
      </c>
      <c r="E135" s="23"/>
      <c r="F135" s="23"/>
      <c r="G135" s="37">
        <f>+D135+E135-F135</f>
        <v>3000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3000</v>
      </c>
      <c r="T135" s="135">
        <f>SUM(H135:S135)</f>
        <v>3000</v>
      </c>
      <c r="U135" s="135">
        <f>+G135-T135</f>
        <v>0</v>
      </c>
    </row>
    <row r="136" spans="1:21" ht="17.25" customHeight="1">
      <c r="A136" s="17" t="s">
        <v>356</v>
      </c>
      <c r="B136" s="279"/>
      <c r="C136" s="690">
        <f>D137+D138+D139</f>
        <v>0</v>
      </c>
      <c r="D136" s="691"/>
      <c r="E136" s="23"/>
      <c r="F136" s="23"/>
      <c r="G136" s="135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135"/>
      <c r="U136" s="135"/>
    </row>
    <row r="137" spans="1:21" ht="17.25" customHeight="1">
      <c r="A137" s="10" t="s">
        <v>357</v>
      </c>
      <c r="B137" s="18"/>
      <c r="C137" s="240"/>
      <c r="D137" s="343">
        <v>0</v>
      </c>
      <c r="E137" s="23"/>
      <c r="F137" s="23"/>
      <c r="G137" s="155">
        <f>+D137+E137-F137</f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135">
        <f>SUM(H137:S137)</f>
        <v>0</v>
      </c>
      <c r="U137" s="135">
        <f>+G137-T137</f>
        <v>0</v>
      </c>
    </row>
    <row r="138" spans="1:21" ht="17.25" customHeight="1">
      <c r="A138" s="10" t="s">
        <v>358</v>
      </c>
      <c r="B138" s="18"/>
      <c r="C138" s="435"/>
      <c r="D138" s="23">
        <v>0</v>
      </c>
      <c r="E138" s="23"/>
      <c r="F138" s="23"/>
      <c r="G138" s="37">
        <f>+D138+E138-F138</f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135">
        <f>SUM(H138:S138)</f>
        <v>0</v>
      </c>
      <c r="U138" s="135">
        <f>+G138-T138</f>
        <v>0</v>
      </c>
    </row>
    <row r="139" spans="1:21" ht="17.25" customHeight="1">
      <c r="A139" s="10" t="s">
        <v>359</v>
      </c>
      <c r="B139" s="18"/>
      <c r="C139" s="240"/>
      <c r="D139" s="23">
        <v>0</v>
      </c>
      <c r="E139" s="23"/>
      <c r="F139" s="23"/>
      <c r="G139" s="37">
        <f>+D139+E139-F139</f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135">
        <f>SUM(H139:S139)</f>
        <v>0</v>
      </c>
      <c r="U139" s="135">
        <f>+G139-T139</f>
        <v>0</v>
      </c>
    </row>
    <row r="140" spans="1:21" ht="17.25" customHeight="1">
      <c r="A140" s="10" t="s">
        <v>411</v>
      </c>
      <c r="B140" s="18"/>
      <c r="C140" s="435"/>
      <c r="D140" s="23"/>
      <c r="E140" s="23">
        <v>0</v>
      </c>
      <c r="F140" s="23"/>
      <c r="G140" s="37">
        <f>+D140+E140-F140</f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135">
        <f>SUM(H140:S140)</f>
        <v>0</v>
      </c>
      <c r="U140" s="135">
        <f>+G140-T140</f>
        <v>0</v>
      </c>
    </row>
    <row r="141" spans="1:22" ht="17.25" customHeight="1">
      <c r="A141" s="17" t="s">
        <v>296</v>
      </c>
      <c r="B141" s="279" t="s">
        <v>182</v>
      </c>
      <c r="C141" s="690">
        <f>D142</f>
        <v>15000</v>
      </c>
      <c r="D141" s="691"/>
      <c r="E141" s="342"/>
      <c r="F141" s="342"/>
      <c r="G141" s="37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5"/>
      <c r="U141" s="135"/>
      <c r="V141" s="375"/>
    </row>
    <row r="142" spans="1:21" s="302" customFormat="1" ht="17.25" customHeight="1">
      <c r="A142" s="449" t="s">
        <v>420</v>
      </c>
      <c r="B142" s="666"/>
      <c r="C142" s="667"/>
      <c r="D142" s="443">
        <v>15000</v>
      </c>
      <c r="E142" s="453"/>
      <c r="F142" s="453"/>
      <c r="G142" s="444">
        <f>+D142+E142-F142</f>
        <v>15000</v>
      </c>
      <c r="H142" s="452">
        <v>0</v>
      </c>
      <c r="I142" s="452">
        <v>0</v>
      </c>
      <c r="J142" s="452">
        <v>0</v>
      </c>
      <c r="K142" s="452">
        <v>0</v>
      </c>
      <c r="L142" s="452">
        <v>0</v>
      </c>
      <c r="M142" s="452">
        <v>0</v>
      </c>
      <c r="N142" s="452">
        <v>0</v>
      </c>
      <c r="O142" s="452">
        <v>12990</v>
      </c>
      <c r="P142" s="452">
        <v>0</v>
      </c>
      <c r="Q142" s="452">
        <v>0</v>
      </c>
      <c r="R142" s="452">
        <v>0</v>
      </c>
      <c r="S142" s="452">
        <v>0</v>
      </c>
      <c r="T142" s="447">
        <f>SUM(H142:S142)</f>
        <v>12990</v>
      </c>
      <c r="U142" s="447">
        <f>+G142-T142</f>
        <v>2010</v>
      </c>
    </row>
    <row r="143" spans="1:21" ht="17.25" customHeight="1">
      <c r="A143" s="17" t="s">
        <v>421</v>
      </c>
      <c r="B143" s="279" t="s">
        <v>182</v>
      </c>
      <c r="C143" s="690">
        <f>D144</f>
        <v>9400</v>
      </c>
      <c r="D143" s="691"/>
      <c r="E143" s="342"/>
      <c r="F143" s="342"/>
      <c r="G143" s="37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35"/>
      <c r="U143" s="135"/>
    </row>
    <row r="144" spans="1:21" s="302" customFormat="1" ht="17.25" customHeight="1">
      <c r="A144" s="449" t="s">
        <v>422</v>
      </c>
      <c r="B144" s="666"/>
      <c r="C144" s="667"/>
      <c r="D144" s="443">
        <v>9400</v>
      </c>
      <c r="E144" s="453"/>
      <c r="F144" s="453"/>
      <c r="G144" s="444">
        <f>+D144+E144-F144</f>
        <v>9400</v>
      </c>
      <c r="H144" s="452">
        <v>0</v>
      </c>
      <c r="I144" s="452">
        <v>0</v>
      </c>
      <c r="J144" s="452">
        <v>0</v>
      </c>
      <c r="K144" s="452">
        <v>0</v>
      </c>
      <c r="L144" s="452">
        <v>0</v>
      </c>
      <c r="M144" s="452">
        <v>0</v>
      </c>
      <c r="N144" s="452">
        <v>0</v>
      </c>
      <c r="O144" s="452">
        <v>7990</v>
      </c>
      <c r="P144" s="452">
        <v>0</v>
      </c>
      <c r="Q144" s="452">
        <v>0</v>
      </c>
      <c r="R144" s="452">
        <v>0</v>
      </c>
      <c r="S144" s="452">
        <v>0</v>
      </c>
      <c r="T144" s="447">
        <f>SUM(H144:S144)</f>
        <v>7990</v>
      </c>
      <c r="U144" s="447">
        <f>+G144-T144</f>
        <v>1410</v>
      </c>
    </row>
    <row r="145" spans="1:21" ht="17.25" customHeight="1">
      <c r="A145" s="17" t="s">
        <v>404</v>
      </c>
      <c r="B145" s="279" t="s">
        <v>189</v>
      </c>
      <c r="C145" s="690">
        <f>D146</f>
        <v>0</v>
      </c>
      <c r="D145" s="691"/>
      <c r="E145" s="23"/>
      <c r="F145" s="23"/>
      <c r="G145" s="1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39"/>
      <c r="U145" s="139">
        <f>+G145-T145</f>
        <v>0</v>
      </c>
    </row>
    <row r="146" spans="1:21" ht="17.25" customHeight="1">
      <c r="A146" s="10" t="s">
        <v>399</v>
      </c>
      <c r="B146" s="18"/>
      <c r="C146" s="240"/>
      <c r="D146" s="343"/>
      <c r="E146" s="23">
        <v>0</v>
      </c>
      <c r="F146" s="23"/>
      <c r="G146" s="155">
        <f>+D146+E146-F146</f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135">
        <f>SUM(H146:S146)</f>
        <v>0</v>
      </c>
      <c r="U146" s="135">
        <f>+G146-T146</f>
        <v>0</v>
      </c>
    </row>
    <row r="147" spans="1:21" ht="17.25" customHeight="1">
      <c r="A147" s="17" t="s">
        <v>409</v>
      </c>
      <c r="B147" s="279" t="s">
        <v>189</v>
      </c>
      <c r="C147" s="690">
        <f>D148</f>
        <v>0</v>
      </c>
      <c r="D147" s="691"/>
      <c r="E147" s="23"/>
      <c r="F147" s="23"/>
      <c r="G147" s="1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39"/>
      <c r="U147" s="139">
        <f>+G147-T147</f>
        <v>0</v>
      </c>
    </row>
    <row r="148" spans="1:21" ht="17.25" customHeight="1">
      <c r="A148" s="10" t="s">
        <v>410</v>
      </c>
      <c r="B148" s="18"/>
      <c r="C148" s="240"/>
      <c r="D148" s="343"/>
      <c r="E148" s="23">
        <v>0</v>
      </c>
      <c r="F148" s="23"/>
      <c r="G148" s="155">
        <f>+D148+E148-F148</f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135">
        <f>SUM(H148:S148)</f>
        <v>0</v>
      </c>
      <c r="U148" s="135">
        <f>+G148-T148</f>
        <v>0</v>
      </c>
    </row>
    <row r="149" spans="1:21" ht="17.25" customHeight="1" thickBot="1">
      <c r="A149" s="10"/>
      <c r="B149" s="18"/>
      <c r="C149" s="345"/>
      <c r="D149" s="344"/>
      <c r="E149" s="342"/>
      <c r="F149" s="342"/>
      <c r="G149" s="158">
        <f>SUM(G132:G148)</f>
        <v>40800</v>
      </c>
      <c r="H149" s="158">
        <f aca="true" t="shared" si="25" ref="H149:U149">SUM(H132:H148)</f>
        <v>0</v>
      </c>
      <c r="I149" s="158">
        <f t="shared" si="25"/>
        <v>0</v>
      </c>
      <c r="J149" s="158">
        <f t="shared" si="25"/>
        <v>0</v>
      </c>
      <c r="K149" s="158">
        <f t="shared" si="25"/>
        <v>0</v>
      </c>
      <c r="L149" s="158">
        <f t="shared" si="25"/>
        <v>0</v>
      </c>
      <c r="M149" s="158">
        <f t="shared" si="25"/>
        <v>0</v>
      </c>
      <c r="N149" s="158">
        <f t="shared" si="25"/>
        <v>0</v>
      </c>
      <c r="O149" s="158">
        <f t="shared" si="25"/>
        <v>30880</v>
      </c>
      <c r="P149" s="158">
        <f t="shared" si="25"/>
        <v>0</v>
      </c>
      <c r="Q149" s="158">
        <f t="shared" si="25"/>
        <v>0</v>
      </c>
      <c r="R149" s="158">
        <f t="shared" si="25"/>
        <v>0</v>
      </c>
      <c r="S149" s="158">
        <f t="shared" si="25"/>
        <v>3000</v>
      </c>
      <c r="T149" s="158">
        <f t="shared" si="25"/>
        <v>33880</v>
      </c>
      <c r="U149" s="158">
        <f t="shared" si="25"/>
        <v>6920</v>
      </c>
    </row>
    <row r="150" spans="1:21" ht="17.25" customHeight="1" thickTop="1">
      <c r="A150" s="17" t="s">
        <v>405</v>
      </c>
      <c r="B150" s="279"/>
      <c r="C150" s="690">
        <f>D151</f>
        <v>0</v>
      </c>
      <c r="D150" s="691"/>
      <c r="E150" s="23"/>
      <c r="F150" s="23"/>
      <c r="G150" s="1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39"/>
      <c r="U150" s="139">
        <f>+G150-T150</f>
        <v>0</v>
      </c>
    </row>
    <row r="151" spans="1:21" ht="17.25" customHeight="1">
      <c r="A151" s="10" t="s">
        <v>406</v>
      </c>
      <c r="B151" s="18"/>
      <c r="C151" s="240"/>
      <c r="D151" s="343"/>
      <c r="E151" s="23">
        <v>0</v>
      </c>
      <c r="F151" s="23"/>
      <c r="G151" s="155">
        <f>+D151+E151-F151</f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135">
        <f>SUM(H151:S151)</f>
        <v>0</v>
      </c>
      <c r="U151" s="135">
        <f>+G151-T151</f>
        <v>0</v>
      </c>
    </row>
    <row r="152" spans="1:21" ht="17.25" customHeight="1">
      <c r="A152" s="10" t="s">
        <v>407</v>
      </c>
      <c r="B152" s="18"/>
      <c r="C152" s="436"/>
      <c r="D152" s="343"/>
      <c r="E152" s="23">
        <v>0</v>
      </c>
      <c r="F152" s="23"/>
      <c r="G152" s="155">
        <f>+D152+E152-F152</f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135">
        <f>SUM(H152:S152)</f>
        <v>0</v>
      </c>
      <c r="U152" s="135">
        <f>+G152-T152</f>
        <v>0</v>
      </c>
    </row>
    <row r="153" spans="1:21" ht="17.25" customHeight="1">
      <c r="A153" s="10"/>
      <c r="B153" s="18"/>
      <c r="C153" s="345"/>
      <c r="D153" s="23"/>
      <c r="E153" s="395"/>
      <c r="F153" s="395"/>
      <c r="G153" s="37">
        <f>G151+G152</f>
        <v>0</v>
      </c>
      <c r="H153" s="37">
        <f aca="true" t="shared" si="26" ref="H153:U153">H151+H152</f>
        <v>0</v>
      </c>
      <c r="I153" s="37">
        <f t="shared" si="26"/>
        <v>0</v>
      </c>
      <c r="J153" s="37">
        <f t="shared" si="26"/>
        <v>0</v>
      </c>
      <c r="K153" s="37">
        <f t="shared" si="26"/>
        <v>0</v>
      </c>
      <c r="L153" s="37">
        <f t="shared" si="26"/>
        <v>0</v>
      </c>
      <c r="M153" s="37">
        <f t="shared" si="26"/>
        <v>0</v>
      </c>
      <c r="N153" s="37">
        <f t="shared" si="26"/>
        <v>0</v>
      </c>
      <c r="O153" s="37">
        <f t="shared" si="26"/>
        <v>0</v>
      </c>
      <c r="P153" s="37">
        <f t="shared" si="26"/>
        <v>0</v>
      </c>
      <c r="Q153" s="37">
        <f t="shared" si="26"/>
        <v>0</v>
      </c>
      <c r="R153" s="37">
        <f t="shared" si="26"/>
        <v>0</v>
      </c>
      <c r="S153" s="37">
        <f t="shared" si="26"/>
        <v>0</v>
      </c>
      <c r="T153" s="37">
        <f t="shared" si="26"/>
        <v>0</v>
      </c>
      <c r="U153" s="37">
        <f t="shared" si="26"/>
        <v>0</v>
      </c>
    </row>
    <row r="154" spans="1:22" ht="17.25" customHeight="1" thickBot="1">
      <c r="A154" s="10"/>
      <c r="B154" s="18"/>
      <c r="C154" s="345"/>
      <c r="D154" s="345" t="s">
        <v>0</v>
      </c>
      <c r="E154" s="408"/>
      <c r="F154" s="408"/>
      <c r="G154" s="409">
        <f>G149+G153</f>
        <v>40800</v>
      </c>
      <c r="H154" s="409">
        <f aca="true" t="shared" si="27" ref="H154:U154">H149+H153</f>
        <v>0</v>
      </c>
      <c r="I154" s="409">
        <f t="shared" si="27"/>
        <v>0</v>
      </c>
      <c r="J154" s="409">
        <f t="shared" si="27"/>
        <v>0</v>
      </c>
      <c r="K154" s="409">
        <f t="shared" si="27"/>
        <v>0</v>
      </c>
      <c r="L154" s="409">
        <f t="shared" si="27"/>
        <v>0</v>
      </c>
      <c r="M154" s="409">
        <f t="shared" si="27"/>
        <v>0</v>
      </c>
      <c r="N154" s="409">
        <f t="shared" si="27"/>
        <v>0</v>
      </c>
      <c r="O154" s="409">
        <f t="shared" si="27"/>
        <v>30880</v>
      </c>
      <c r="P154" s="409">
        <f t="shared" si="27"/>
        <v>0</v>
      </c>
      <c r="Q154" s="409">
        <f t="shared" si="27"/>
        <v>0</v>
      </c>
      <c r="R154" s="409">
        <f t="shared" si="27"/>
        <v>0</v>
      </c>
      <c r="S154" s="409">
        <f t="shared" si="27"/>
        <v>3000</v>
      </c>
      <c r="T154" s="409">
        <f t="shared" si="27"/>
        <v>33880</v>
      </c>
      <c r="U154" s="409">
        <f t="shared" si="27"/>
        <v>6920</v>
      </c>
      <c r="V154" s="410"/>
    </row>
    <row r="155" spans="1:21" ht="17.25" customHeight="1" thickTop="1">
      <c r="A155" s="10" t="s">
        <v>233</v>
      </c>
      <c r="B155" s="279" t="s">
        <v>234</v>
      </c>
      <c r="C155" s="688">
        <f>C156+C161</f>
        <v>11000</v>
      </c>
      <c r="D155" s="689"/>
      <c r="E155" s="342"/>
      <c r="F155" s="342"/>
      <c r="G155" s="37"/>
      <c r="H155" s="411"/>
      <c r="I155" s="114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135"/>
      <c r="U155" s="135"/>
    </row>
    <row r="156" spans="1:21" ht="17.25" customHeight="1">
      <c r="A156" s="17" t="s">
        <v>277</v>
      </c>
      <c r="B156" s="279" t="s">
        <v>175</v>
      </c>
      <c r="C156" s="674">
        <f>D157+D158+D159+D160</f>
        <v>11000</v>
      </c>
      <c r="D156" s="675"/>
      <c r="E156" s="395"/>
      <c r="F156" s="23"/>
      <c r="G156" s="37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135"/>
      <c r="U156" s="135"/>
    </row>
    <row r="157" spans="1:21" ht="17.25" customHeight="1">
      <c r="A157" s="10" t="s">
        <v>235</v>
      </c>
      <c r="B157" s="412"/>
      <c r="C157" s="412"/>
      <c r="D157" s="23">
        <v>0</v>
      </c>
      <c r="E157" s="395"/>
      <c r="F157" s="23"/>
      <c r="G157" s="37">
        <f>+D157+E157-F157</f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135">
        <f>SUM(H157:S157)</f>
        <v>0</v>
      </c>
      <c r="U157" s="135">
        <f>+G157-T157</f>
        <v>0</v>
      </c>
    </row>
    <row r="158" spans="1:21" s="302" customFormat="1" ht="17.25" customHeight="1">
      <c r="A158" s="449" t="s">
        <v>423</v>
      </c>
      <c r="B158" s="454"/>
      <c r="C158" s="454"/>
      <c r="D158" s="443">
        <v>11000</v>
      </c>
      <c r="E158" s="455"/>
      <c r="F158" s="443"/>
      <c r="G158" s="444">
        <f>+D158+E158-F158</f>
        <v>11000</v>
      </c>
      <c r="H158" s="456">
        <v>0</v>
      </c>
      <c r="I158" s="456">
        <v>0</v>
      </c>
      <c r="J158" s="456">
        <v>0</v>
      </c>
      <c r="K158" s="456">
        <v>0</v>
      </c>
      <c r="L158" s="456">
        <v>0</v>
      </c>
      <c r="M158" s="456">
        <v>0</v>
      </c>
      <c r="N158" s="456">
        <v>11000</v>
      </c>
      <c r="O158" s="456">
        <v>0</v>
      </c>
      <c r="P158" s="456">
        <v>0</v>
      </c>
      <c r="Q158" s="456">
        <v>0</v>
      </c>
      <c r="R158" s="456">
        <v>0</v>
      </c>
      <c r="S158" s="456">
        <v>0</v>
      </c>
      <c r="T158" s="447">
        <f>SUM(H158:S158)</f>
        <v>11000</v>
      </c>
      <c r="U158" s="447">
        <f>+G158-T158</f>
        <v>0</v>
      </c>
    </row>
    <row r="159" spans="1:21" ht="17.25" customHeight="1">
      <c r="A159" s="10" t="s">
        <v>360</v>
      </c>
      <c r="B159" s="412"/>
      <c r="C159" s="412"/>
      <c r="D159" s="23">
        <v>0</v>
      </c>
      <c r="E159" s="395">
        <v>0</v>
      </c>
      <c r="F159" s="23"/>
      <c r="G159" s="37">
        <f>+D159+E159-F159</f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135">
        <f>SUM(H159:S159)</f>
        <v>0</v>
      </c>
      <c r="U159" s="135">
        <f>+G159-T159</f>
        <v>0</v>
      </c>
    </row>
    <row r="160" spans="1:21" ht="17.25" customHeight="1">
      <c r="A160" s="10" t="s">
        <v>242</v>
      </c>
      <c r="B160" s="664" t="s">
        <v>211</v>
      </c>
      <c r="C160" s="665"/>
      <c r="D160" s="23">
        <v>0</v>
      </c>
      <c r="E160" s="395"/>
      <c r="F160" s="23"/>
      <c r="G160" s="37">
        <f>+D160+E160-F160</f>
        <v>0</v>
      </c>
      <c r="H160" s="26">
        <v>0</v>
      </c>
      <c r="I160" s="26">
        <v>0</v>
      </c>
      <c r="J160" s="26"/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/>
      <c r="T160" s="135">
        <f>SUM(H160:S160)</f>
        <v>0</v>
      </c>
      <c r="U160" s="135">
        <f>+G160-T160</f>
        <v>0</v>
      </c>
    </row>
    <row r="161" spans="1:21" ht="17.25" customHeight="1">
      <c r="A161" s="17" t="s">
        <v>278</v>
      </c>
      <c r="B161" s="279" t="s">
        <v>176</v>
      </c>
      <c r="C161" s="674">
        <f>D162+D163</f>
        <v>0</v>
      </c>
      <c r="D161" s="675"/>
      <c r="E161" s="395"/>
      <c r="F161" s="23"/>
      <c r="G161" s="37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135"/>
      <c r="U161" s="135"/>
    </row>
    <row r="162" spans="1:21" ht="17.25" customHeight="1">
      <c r="A162" s="10" t="s">
        <v>186</v>
      </c>
      <c r="B162" s="664" t="s">
        <v>237</v>
      </c>
      <c r="C162" s="665"/>
      <c r="D162" s="23"/>
      <c r="E162" s="395"/>
      <c r="F162" s="23"/>
      <c r="G162" s="37">
        <f>+D162+E162-F162</f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/>
      <c r="Q162" s="26">
        <v>0</v>
      </c>
      <c r="R162" s="26">
        <v>0</v>
      </c>
      <c r="S162" s="26">
        <v>0</v>
      </c>
      <c r="T162" s="135">
        <f>SUM(H162:S162)</f>
        <v>0</v>
      </c>
      <c r="U162" s="135">
        <f>+G162-T162</f>
        <v>0</v>
      </c>
    </row>
    <row r="163" spans="1:21" ht="17.25" customHeight="1">
      <c r="A163" s="10" t="s">
        <v>290</v>
      </c>
      <c r="B163" s="664" t="s">
        <v>211</v>
      </c>
      <c r="C163" s="665"/>
      <c r="D163" s="23">
        <v>0</v>
      </c>
      <c r="E163" s="395"/>
      <c r="F163" s="23"/>
      <c r="G163" s="37">
        <f>+D163+E163-F163</f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135">
        <f>SUM(H163:S163)</f>
        <v>0</v>
      </c>
      <c r="U163" s="135">
        <f>+G163-T163</f>
        <v>0</v>
      </c>
    </row>
    <row r="164" spans="1:21" ht="17.25" customHeight="1" thickBot="1">
      <c r="A164" s="10"/>
      <c r="B164" s="359"/>
      <c r="C164" s="360"/>
      <c r="D164" s="345" t="s">
        <v>0</v>
      </c>
      <c r="E164" s="408"/>
      <c r="F164" s="408"/>
      <c r="G164" s="409">
        <f aca="true" t="shared" si="28" ref="G164:U164">SUM(G156:G163)</f>
        <v>11000</v>
      </c>
      <c r="H164" s="409">
        <f t="shared" si="28"/>
        <v>0</v>
      </c>
      <c r="I164" s="409">
        <f t="shared" si="28"/>
        <v>0</v>
      </c>
      <c r="J164" s="409">
        <f t="shared" si="28"/>
        <v>0</v>
      </c>
      <c r="K164" s="409">
        <f t="shared" si="28"/>
        <v>0</v>
      </c>
      <c r="L164" s="409">
        <f t="shared" si="28"/>
        <v>0</v>
      </c>
      <c r="M164" s="409">
        <f t="shared" si="28"/>
        <v>0</v>
      </c>
      <c r="N164" s="409">
        <f t="shared" si="28"/>
        <v>11000</v>
      </c>
      <c r="O164" s="409">
        <f t="shared" si="28"/>
        <v>0</v>
      </c>
      <c r="P164" s="409">
        <f t="shared" si="28"/>
        <v>0</v>
      </c>
      <c r="Q164" s="409">
        <f t="shared" si="28"/>
        <v>0</v>
      </c>
      <c r="R164" s="409">
        <f t="shared" si="28"/>
        <v>0</v>
      </c>
      <c r="S164" s="409">
        <f t="shared" si="28"/>
        <v>0</v>
      </c>
      <c r="T164" s="409">
        <f t="shared" si="28"/>
        <v>11000</v>
      </c>
      <c r="U164" s="409">
        <f t="shared" si="28"/>
        <v>0</v>
      </c>
    </row>
    <row r="165" spans="1:21" ht="17.25" customHeight="1" thickTop="1">
      <c r="A165" s="20" t="s">
        <v>276</v>
      </c>
      <c r="B165" s="359"/>
      <c r="C165" s="360"/>
      <c r="D165" s="346">
        <v>18000</v>
      </c>
      <c r="E165" s="395"/>
      <c r="F165" s="23"/>
      <c r="G165" s="37">
        <f>+D165+E165-F165</f>
        <v>18000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18000</v>
      </c>
      <c r="T165" s="135">
        <f>SUM(H165:S165)</f>
        <v>18000</v>
      </c>
      <c r="U165" s="135">
        <f>+G165-T165</f>
        <v>0</v>
      </c>
    </row>
    <row r="166" spans="1:21" ht="17.25" customHeight="1">
      <c r="A166" s="10"/>
      <c r="B166" s="359"/>
      <c r="C166" s="360"/>
      <c r="D166" s="346"/>
      <c r="E166" s="395"/>
      <c r="F166" s="23"/>
      <c r="G166" s="50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135"/>
      <c r="U166" s="135"/>
    </row>
    <row r="167" spans="1:21" ht="21" customHeight="1" thickBot="1">
      <c r="A167" s="17"/>
      <c r="B167" s="18"/>
      <c r="C167" s="413"/>
      <c r="D167" s="347" t="s">
        <v>7</v>
      </c>
      <c r="E167" s="23"/>
      <c r="F167" s="23"/>
      <c r="G167" s="181">
        <f>G21+G32+G101+G115+G123+G149+G164+G165</f>
        <v>9194350</v>
      </c>
      <c r="H167" s="181">
        <f>H21+H32+H101+H115+H123+H149+H153+H164+H165</f>
        <v>418480.86</v>
      </c>
      <c r="I167" s="181">
        <f aca="true" t="shared" si="29" ref="I167:U167">I21+I32+I101+I115+I123+I149+I153+I164+I165</f>
        <v>584422.84</v>
      </c>
      <c r="J167" s="181">
        <f t="shared" si="29"/>
        <v>517882.63</v>
      </c>
      <c r="K167" s="181">
        <f t="shared" si="29"/>
        <v>640282.18</v>
      </c>
      <c r="L167" s="181">
        <f t="shared" si="29"/>
        <v>677064.75</v>
      </c>
      <c r="M167" s="181">
        <f t="shared" si="29"/>
        <v>616858.48</v>
      </c>
      <c r="N167" s="181">
        <f t="shared" si="29"/>
        <v>603506.8</v>
      </c>
      <c r="O167" s="181">
        <f t="shared" si="29"/>
        <v>812515.49</v>
      </c>
      <c r="P167" s="181">
        <f t="shared" si="29"/>
        <v>781183.72</v>
      </c>
      <c r="Q167" s="181">
        <f t="shared" si="29"/>
        <v>687548.07</v>
      </c>
      <c r="R167" s="181">
        <f t="shared" si="29"/>
        <v>647403.08</v>
      </c>
      <c r="S167" s="181">
        <f t="shared" si="29"/>
        <v>1452482.63</v>
      </c>
      <c r="T167" s="181">
        <f t="shared" si="29"/>
        <v>8439631.530000001</v>
      </c>
      <c r="U167" s="181">
        <f t="shared" si="29"/>
        <v>754718.47</v>
      </c>
    </row>
    <row r="168" spans="1:21" ht="21" customHeight="1" thickTop="1">
      <c r="A168" s="414"/>
      <c r="B168" s="349"/>
      <c r="C168" s="415"/>
      <c r="D168" s="348"/>
      <c r="E168" s="348"/>
      <c r="F168" s="348"/>
      <c r="G168" s="137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137"/>
      <c r="U168" s="137"/>
    </row>
    <row r="169" spans="1:21" ht="59.25" customHeight="1">
      <c r="A169" s="416"/>
      <c r="B169" s="349"/>
      <c r="C169" s="415"/>
      <c r="D169" s="348"/>
      <c r="E169" s="348"/>
      <c r="F169" s="348"/>
      <c r="G169" s="137"/>
      <c r="H169" s="85"/>
      <c r="I169" s="85"/>
      <c r="J169" s="85"/>
      <c r="K169" s="417"/>
      <c r="L169" s="85"/>
      <c r="M169" s="85"/>
      <c r="N169" s="85"/>
      <c r="O169" s="85"/>
      <c r="P169" s="85"/>
      <c r="Q169" s="85"/>
      <c r="R169" s="85"/>
      <c r="S169" s="418"/>
      <c r="T169" s="137"/>
      <c r="U169" s="137"/>
    </row>
    <row r="170" spans="1:21" ht="42" customHeight="1">
      <c r="A170" s="416">
        <v>24730000</v>
      </c>
      <c r="B170" s="349"/>
      <c r="C170" s="415"/>
      <c r="D170" s="662">
        <f>G53+G57+G60+G61+G67+G70+G71+G84+G91+G93+G94+G97+G98+G134+G142+G144+G158</f>
        <v>747900</v>
      </c>
      <c r="E170" s="662"/>
      <c r="F170" s="662"/>
      <c r="G170" s="114"/>
      <c r="H170" s="495">
        <f>H53+H57+H60+H61+H67+H70+H71+H84+H91+H93+H94+H97+H98+H134+H142+H144+H158</f>
        <v>0</v>
      </c>
      <c r="I170" s="495">
        <f aca="true" t="shared" si="30" ref="I170:T170">I53+I57+I60+I61+I67+I70+I71+I84+I91+I93+I94+I97+I98+I134+I142+I144+I158</f>
        <v>0</v>
      </c>
      <c r="J170" s="495">
        <f t="shared" si="30"/>
        <v>0</v>
      </c>
      <c r="K170" s="495">
        <f t="shared" si="30"/>
        <v>84575</v>
      </c>
      <c r="L170" s="495">
        <f t="shared" si="30"/>
        <v>115250</v>
      </c>
      <c r="M170" s="495">
        <f t="shared" si="30"/>
        <v>22950</v>
      </c>
      <c r="N170" s="495">
        <f t="shared" si="30"/>
        <v>11000</v>
      </c>
      <c r="O170" s="495">
        <f t="shared" si="30"/>
        <v>166377</v>
      </c>
      <c r="P170" s="495">
        <f t="shared" si="30"/>
        <v>36000</v>
      </c>
      <c r="Q170" s="495">
        <f t="shared" si="30"/>
        <v>89265</v>
      </c>
      <c r="R170" s="495">
        <f t="shared" si="30"/>
        <v>23832</v>
      </c>
      <c r="S170" s="495">
        <f t="shared" si="30"/>
        <v>128175</v>
      </c>
      <c r="T170" s="495">
        <f t="shared" si="30"/>
        <v>677424</v>
      </c>
      <c r="U170" s="137"/>
    </row>
    <row r="171" spans="1:21" ht="28.5" customHeight="1">
      <c r="A171" s="416"/>
      <c r="B171" s="677"/>
      <c r="C171" s="677"/>
      <c r="D171" s="348"/>
      <c r="E171" s="348"/>
      <c r="F171" s="348"/>
      <c r="G171" s="114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137"/>
      <c r="U171" s="137"/>
    </row>
    <row r="172" spans="1:21" ht="21" customHeight="1">
      <c r="A172" s="419"/>
      <c r="B172" s="699"/>
      <c r="C172" s="677"/>
      <c r="D172" s="348"/>
      <c r="E172" s="348"/>
      <c r="F172" s="348"/>
      <c r="G172" s="114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137"/>
      <c r="U172" s="137"/>
    </row>
    <row r="173" spans="1:21" ht="44.25" customHeight="1">
      <c r="A173" s="416">
        <f>G167+การคลัง!G59+ส่วนโยธา!G97+ส่วนศึกษา!G96+งบกลาง!G14</f>
        <v>24730000</v>
      </c>
      <c r="B173" s="420"/>
      <c r="C173" s="421"/>
      <c r="D173" s="348"/>
      <c r="E173" s="663">
        <f>D170+การคลัง!D63+ส่วนโยธา!F99+ส่วนศึกษา!F99+งบกลาง!F23+437+20000</f>
        <v>10915050</v>
      </c>
      <c r="F173" s="663"/>
      <c r="G173" s="663"/>
      <c r="H173" s="85"/>
      <c r="I173" s="85"/>
      <c r="J173" s="417"/>
      <c r="K173" s="85"/>
      <c r="L173" s="85"/>
      <c r="M173" s="85"/>
      <c r="N173" s="85"/>
      <c r="O173" s="85"/>
      <c r="P173" s="85"/>
      <c r="Q173" s="85"/>
      <c r="R173" s="85"/>
      <c r="S173" s="85"/>
      <c r="T173" s="137"/>
      <c r="U173" s="137"/>
    </row>
    <row r="174" spans="1:21" ht="21" customHeight="1">
      <c r="A174" s="419"/>
      <c r="B174" s="349"/>
      <c r="C174" s="415"/>
      <c r="D174" s="348"/>
      <c r="E174" s="348"/>
      <c r="F174" s="348"/>
      <c r="G174" s="114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137"/>
      <c r="U174" s="137"/>
    </row>
    <row r="175" spans="1:21" ht="21" customHeight="1">
      <c r="A175" s="422"/>
      <c r="B175" s="349"/>
      <c r="C175" s="415"/>
      <c r="D175" s="348"/>
      <c r="E175" s="348"/>
      <c r="F175" s="348"/>
      <c r="G175" s="114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137"/>
      <c r="U175" s="137"/>
    </row>
    <row r="176" spans="1:21" ht="50.25" customHeight="1">
      <c r="A176" s="440">
        <f>A170-A173</f>
        <v>0</v>
      </c>
      <c r="B176" s="349"/>
      <c r="C176" s="661">
        <f>11000000-E173</f>
        <v>84950</v>
      </c>
      <c r="D176" s="661"/>
      <c r="E176" s="661"/>
      <c r="F176" s="661"/>
      <c r="G176" s="661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137"/>
      <c r="U176" s="137"/>
    </row>
    <row r="177" spans="1:21" ht="40.5" customHeight="1">
      <c r="A177" s="416"/>
      <c r="B177" s="698"/>
      <c r="C177" s="698"/>
      <c r="D177" s="698"/>
      <c r="E177" s="348"/>
      <c r="F177" s="348"/>
      <c r="G177" s="114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137"/>
      <c r="U177" s="137"/>
    </row>
    <row r="178" spans="1:21" ht="38.25" customHeight="1">
      <c r="A178" s="419"/>
      <c r="B178" s="349"/>
      <c r="C178" s="415"/>
      <c r="D178" s="348"/>
      <c r="E178" s="348"/>
      <c r="F178" s="348"/>
      <c r="G178" s="114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137"/>
      <c r="U178" s="137"/>
    </row>
    <row r="179" spans="1:21" ht="21" customHeight="1">
      <c r="A179" s="422"/>
      <c r="B179" s="349"/>
      <c r="C179" s="415"/>
      <c r="D179" s="348"/>
      <c r="E179" s="348"/>
      <c r="F179" s="348"/>
      <c r="G179" s="114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137"/>
      <c r="U179" s="137"/>
    </row>
    <row r="180" spans="1:21" ht="21" customHeight="1">
      <c r="A180" s="422"/>
      <c r="B180" s="349"/>
      <c r="C180" s="415"/>
      <c r="D180" s="348"/>
      <c r="E180" s="348"/>
      <c r="F180" s="348"/>
      <c r="G180" s="114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137"/>
      <c r="U180" s="137"/>
    </row>
    <row r="181" spans="1:21" ht="30.75" customHeight="1">
      <c r="A181" s="423"/>
      <c r="B181" s="424"/>
      <c r="C181" s="425"/>
      <c r="D181" s="348"/>
      <c r="E181" s="348"/>
      <c r="F181" s="348"/>
      <c r="G181" s="114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137"/>
      <c r="U181" s="137"/>
    </row>
    <row r="182" spans="1:21" ht="21" customHeight="1">
      <c r="A182" s="88"/>
      <c r="B182" s="349"/>
      <c r="C182" s="415"/>
      <c r="D182" s="348"/>
      <c r="E182" s="348"/>
      <c r="F182" s="348"/>
      <c r="G182" s="114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137"/>
      <c r="U182" s="137"/>
    </row>
    <row r="183" spans="1:21" ht="21" customHeight="1">
      <c r="A183" s="422"/>
      <c r="B183" s="349"/>
      <c r="C183" s="415"/>
      <c r="D183" s="348"/>
      <c r="E183" s="348"/>
      <c r="F183" s="348"/>
      <c r="G183" s="114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137"/>
      <c r="U183" s="137"/>
    </row>
    <row r="184" spans="1:21" ht="21" customHeight="1">
      <c r="A184" s="422"/>
      <c r="B184" s="349"/>
      <c r="C184" s="415"/>
      <c r="D184" s="348"/>
      <c r="E184" s="348"/>
      <c r="F184" s="348"/>
      <c r="G184" s="114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137"/>
      <c r="U184" s="137"/>
    </row>
    <row r="185" spans="1:21" ht="21" customHeight="1">
      <c r="A185" s="426"/>
      <c r="B185" s="427"/>
      <c r="C185" s="427"/>
      <c r="D185" s="349"/>
      <c r="E185" s="427"/>
      <c r="F185" s="427"/>
      <c r="G185" s="428"/>
      <c r="H185" s="427"/>
      <c r="I185" s="427"/>
      <c r="J185" s="426"/>
      <c r="K185" s="426"/>
      <c r="L185" s="426"/>
      <c r="M185" s="426"/>
      <c r="N185" s="426"/>
      <c r="O185" s="426"/>
      <c r="P185" s="426"/>
      <c r="Q185" s="426"/>
      <c r="R185" s="426"/>
      <c r="S185" s="426"/>
      <c r="T185" s="426"/>
      <c r="U185" s="426"/>
    </row>
    <row r="186" spans="1:21" ht="21" customHeight="1">
      <c r="A186" s="422"/>
      <c r="B186" s="349"/>
      <c r="C186" s="415"/>
      <c r="D186" s="348"/>
      <c r="E186" s="348"/>
      <c r="F186" s="348"/>
      <c r="G186" s="114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137"/>
      <c r="U186" s="137"/>
    </row>
    <row r="187" spans="1:21" ht="21" customHeight="1">
      <c r="A187" s="88"/>
      <c r="B187" s="349"/>
      <c r="C187" s="415"/>
      <c r="D187" s="348"/>
      <c r="E187" s="348"/>
      <c r="F187" s="348"/>
      <c r="G187" s="114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137"/>
      <c r="U187" s="137"/>
    </row>
    <row r="188" spans="1:21" ht="21" customHeight="1">
      <c r="A188" s="422"/>
      <c r="B188" s="349"/>
      <c r="C188" s="415"/>
      <c r="D188" s="348"/>
      <c r="E188" s="348"/>
      <c r="F188" s="348"/>
      <c r="G188" s="114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137"/>
      <c r="U188" s="137"/>
    </row>
    <row r="189" spans="1:21" ht="18">
      <c r="A189" s="414"/>
      <c r="B189" s="349"/>
      <c r="C189" s="415"/>
      <c r="D189" s="350"/>
      <c r="E189" s="348"/>
      <c r="F189" s="348"/>
      <c r="G189" s="137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137"/>
      <c r="U189" s="137"/>
    </row>
  </sheetData>
  <sheetProtection/>
  <mergeCells count="92">
    <mergeCell ref="D170:F170"/>
    <mergeCell ref="E173:G173"/>
    <mergeCell ref="C145:D145"/>
    <mergeCell ref="C147:D147"/>
    <mergeCell ref="C176:G176"/>
    <mergeCell ref="C136:D136"/>
    <mergeCell ref="C156:D156"/>
    <mergeCell ref="C143:D143"/>
    <mergeCell ref="C141:D141"/>
    <mergeCell ref="B162:C162"/>
    <mergeCell ref="A126:A127"/>
    <mergeCell ref="C126:D126"/>
    <mergeCell ref="C131:D131"/>
    <mergeCell ref="B90:C90"/>
    <mergeCell ref="C117:D117"/>
    <mergeCell ref="B88:C88"/>
    <mergeCell ref="B89:C89"/>
    <mergeCell ref="B91:C91"/>
    <mergeCell ref="B92:C92"/>
    <mergeCell ref="C130:D130"/>
    <mergeCell ref="A1:U1"/>
    <mergeCell ref="A2:A3"/>
    <mergeCell ref="A34:U34"/>
    <mergeCell ref="C5:D5"/>
    <mergeCell ref="C22:D22"/>
    <mergeCell ref="C4:D4"/>
    <mergeCell ref="A33:U33"/>
    <mergeCell ref="C2:D2"/>
    <mergeCell ref="C8:D8"/>
    <mergeCell ref="C7:D7"/>
    <mergeCell ref="B72:C72"/>
    <mergeCell ref="B64:C64"/>
    <mergeCell ref="B69:C69"/>
    <mergeCell ref="B45:C45"/>
    <mergeCell ref="C52:D52"/>
    <mergeCell ref="B70:C70"/>
    <mergeCell ref="C15:D15"/>
    <mergeCell ref="C38:D38"/>
    <mergeCell ref="C23:D23"/>
    <mergeCell ref="C9:D9"/>
    <mergeCell ref="C37:D37"/>
    <mergeCell ref="C35:D35"/>
    <mergeCell ref="A78:U78"/>
    <mergeCell ref="B177:D177"/>
    <mergeCell ref="B46:C46"/>
    <mergeCell ref="B172:C172"/>
    <mergeCell ref="B71:C71"/>
    <mergeCell ref="B171:C171"/>
    <mergeCell ref="A79:U79"/>
    <mergeCell ref="B53:C53"/>
    <mergeCell ref="B68:C68"/>
    <mergeCell ref="C48:D48"/>
    <mergeCell ref="A35:A36"/>
    <mergeCell ref="B61:C61"/>
    <mergeCell ref="B62:C62"/>
    <mergeCell ref="B63:C63"/>
    <mergeCell ref="B65:C65"/>
    <mergeCell ref="B75:C75"/>
    <mergeCell ref="B44:C44"/>
    <mergeCell ref="B57:C57"/>
    <mergeCell ref="B74:C74"/>
    <mergeCell ref="B73:C73"/>
    <mergeCell ref="B163:C163"/>
    <mergeCell ref="B93:C93"/>
    <mergeCell ref="B94:C94"/>
    <mergeCell ref="B95:C95"/>
    <mergeCell ref="B96:C96"/>
    <mergeCell ref="B47:C47"/>
    <mergeCell ref="B67:C67"/>
    <mergeCell ref="B66:C66"/>
    <mergeCell ref="C155:D155"/>
    <mergeCell ref="C150:D150"/>
    <mergeCell ref="A80:U80"/>
    <mergeCell ref="A81:A82"/>
    <mergeCell ref="C161:D161"/>
    <mergeCell ref="B85:C85"/>
    <mergeCell ref="A124:U124"/>
    <mergeCell ref="A125:U125"/>
    <mergeCell ref="C129:D129"/>
    <mergeCell ref="B83:C83"/>
    <mergeCell ref="C81:D81"/>
    <mergeCell ref="B142:C142"/>
    <mergeCell ref="B77:C77"/>
    <mergeCell ref="B86:C86"/>
    <mergeCell ref="B84:C84"/>
    <mergeCell ref="B76:C76"/>
    <mergeCell ref="B160:C160"/>
    <mergeCell ref="B144:C144"/>
    <mergeCell ref="C102:D102"/>
    <mergeCell ref="B97:C97"/>
    <mergeCell ref="B98:C98"/>
    <mergeCell ref="B87:C87"/>
  </mergeCells>
  <printOptions verticalCentered="1"/>
  <pageMargins left="0.6299212598425197" right="0.1968503937007874" top="0" bottom="0" header="0.1968503937007874" footer="0.03937007874015748"/>
  <pageSetup horizontalDpi="600" verticalDpi="600" orientation="landscape" paperSize="5" scale="74" r:id="rId1"/>
  <rowBreaks count="2" manualBreakCount="2">
    <brk id="32" max="20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44"/>
  <sheetViews>
    <sheetView zoomScaleSheetLayoutView="100" zoomScalePageLayoutView="0" workbookViewId="0" topLeftCell="A31">
      <selection activeCell="A43" sqref="A43"/>
    </sheetView>
  </sheetViews>
  <sheetFormatPr defaultColWidth="9.140625" defaultRowHeight="23.25"/>
  <cols>
    <col min="1" max="1" width="51.7109375" style="167" customWidth="1"/>
    <col min="2" max="4" width="23.421875" style="167" customWidth="1"/>
    <col min="5" max="5" width="10.28125" style="167" bestFit="1" customWidth="1"/>
    <col min="6" max="6" width="11.421875" style="167" bestFit="1" customWidth="1"/>
    <col min="7" max="16384" width="9.140625" style="167" customWidth="1"/>
  </cols>
  <sheetData>
    <row r="1" spans="1:4" ht="26.25">
      <c r="A1" s="655" t="s">
        <v>552</v>
      </c>
      <c r="B1" s="655"/>
      <c r="C1" s="655"/>
      <c r="D1" s="655"/>
    </row>
    <row r="2" spans="1:4" ht="26.25">
      <c r="A2" s="655" t="s">
        <v>579</v>
      </c>
      <c r="B2" s="655"/>
      <c r="C2" s="655"/>
      <c r="D2" s="655"/>
    </row>
    <row r="3" spans="1:4" ht="26.25">
      <c r="A3" s="655" t="s">
        <v>553</v>
      </c>
      <c r="B3" s="655"/>
      <c r="C3" s="655"/>
      <c r="D3" s="655"/>
    </row>
    <row r="4" spans="1:4" ht="23.25">
      <c r="A4" s="656" t="s">
        <v>4</v>
      </c>
      <c r="B4" s="518" t="s">
        <v>531</v>
      </c>
      <c r="C4" s="518" t="s">
        <v>532</v>
      </c>
      <c r="D4" s="518" t="s">
        <v>6</v>
      </c>
    </row>
    <row r="5" spans="1:4" ht="23.25">
      <c r="A5" s="657"/>
      <c r="B5" s="521"/>
      <c r="C5" s="521" t="s">
        <v>533</v>
      </c>
      <c r="D5" s="521" t="s">
        <v>5</v>
      </c>
    </row>
    <row r="6" spans="1:4" ht="23.25">
      <c r="A6" s="522" t="s">
        <v>134</v>
      </c>
      <c r="B6" s="550"/>
      <c r="C6" s="576"/>
      <c r="D6" s="577"/>
    </row>
    <row r="7" spans="1:5" ht="23.25">
      <c r="A7" s="523" t="s">
        <v>72</v>
      </c>
      <c r="B7" s="577">
        <v>1229580</v>
      </c>
      <c r="C7" s="577">
        <f>'การคลัง (2)'!R5</f>
        <v>1000400</v>
      </c>
      <c r="D7" s="180">
        <f>'การคลัง (2)'!S5</f>
        <v>229180</v>
      </c>
      <c r="E7" s="278"/>
    </row>
    <row r="8" spans="1:6" ht="23.25">
      <c r="A8" s="4" t="s">
        <v>245</v>
      </c>
      <c r="B8" s="577">
        <v>42000</v>
      </c>
      <c r="C8" s="577">
        <f>'การคลัง (2)'!R6</f>
        <v>42000</v>
      </c>
      <c r="D8" s="180">
        <f>'การคลัง (2)'!S6</f>
        <v>0</v>
      </c>
      <c r="F8" s="278"/>
    </row>
    <row r="9" spans="1:4" ht="24" thickBot="1">
      <c r="A9" s="578" t="s">
        <v>534</v>
      </c>
      <c r="B9" s="579">
        <f>SUM(B7:B8)</f>
        <v>1271580</v>
      </c>
      <c r="C9" s="580">
        <f>SUM(C7:C8)</f>
        <v>1042400</v>
      </c>
      <c r="D9" s="580">
        <f>SUM(D7:D8)</f>
        <v>229180</v>
      </c>
    </row>
    <row r="10" spans="1:4" ht="24" thickTop="1">
      <c r="A10" s="581" t="s">
        <v>535</v>
      </c>
      <c r="B10" s="582"/>
      <c r="C10" s="535"/>
      <c r="D10" s="535"/>
    </row>
    <row r="11" spans="1:4" ht="23.25">
      <c r="A11" s="581" t="s">
        <v>543</v>
      </c>
      <c r="B11" s="550"/>
      <c r="C11" s="180"/>
      <c r="D11" s="180"/>
    </row>
    <row r="12" spans="1:6" ht="23.25">
      <c r="A12" s="163" t="s">
        <v>63</v>
      </c>
      <c r="B12" s="541">
        <v>138240</v>
      </c>
      <c r="C12" s="577">
        <f>'การคลัง (2)'!R10</f>
        <v>138240</v>
      </c>
      <c r="D12" s="180">
        <f>'การคลัง (2)'!S10</f>
        <v>0</v>
      </c>
      <c r="F12" s="278"/>
    </row>
    <row r="13" spans="1:4" ht="23.25">
      <c r="A13" s="163" t="s">
        <v>45</v>
      </c>
      <c r="B13" s="577">
        <v>21180</v>
      </c>
      <c r="C13" s="577">
        <f>'การคลัง (2)'!R11</f>
        <v>21180</v>
      </c>
      <c r="D13" s="180">
        <f>'การคลัง (2)'!S11</f>
        <v>0</v>
      </c>
    </row>
    <row r="14" spans="1:5" ht="24" thickBot="1">
      <c r="A14" s="578" t="s">
        <v>541</v>
      </c>
      <c r="B14" s="579">
        <f>SUM(B12:B13)</f>
        <v>159420</v>
      </c>
      <c r="C14" s="528">
        <f>SUM(C12:C13)</f>
        <v>159420</v>
      </c>
      <c r="D14" s="528">
        <f>SUM(D12:D13)</f>
        <v>0</v>
      </c>
      <c r="E14" s="278"/>
    </row>
    <row r="15" spans="1:4" ht="24" thickTop="1">
      <c r="A15" s="581" t="s">
        <v>93</v>
      </c>
      <c r="B15" s="583"/>
      <c r="C15" s="180"/>
      <c r="D15" s="180"/>
    </row>
    <row r="16" spans="1:5" ht="23.25">
      <c r="A16" s="584" t="s">
        <v>544</v>
      </c>
      <c r="B16" s="541">
        <v>10000</v>
      </c>
      <c r="C16" s="577">
        <f>'การคลัง (2)'!R14</f>
        <v>0</v>
      </c>
      <c r="D16" s="180">
        <f>'การคลัง (2)'!S14</f>
        <v>10000</v>
      </c>
      <c r="E16" s="278"/>
    </row>
    <row r="17" spans="1:6" ht="23.25">
      <c r="A17" s="584" t="s">
        <v>545</v>
      </c>
      <c r="B17" s="541">
        <v>10000</v>
      </c>
      <c r="C17" s="577">
        <f>'การคลัง (2)'!R15</f>
        <v>0</v>
      </c>
      <c r="D17" s="180">
        <f>'การคลัง (2)'!S15</f>
        <v>10000</v>
      </c>
      <c r="E17" s="278"/>
      <c r="F17" s="278"/>
    </row>
    <row r="18" spans="1:4" ht="23.25">
      <c r="A18" s="584" t="s">
        <v>546</v>
      </c>
      <c r="B18" s="541">
        <v>156000</v>
      </c>
      <c r="C18" s="577">
        <f>'การคลัง (2)'!R16</f>
        <v>122500</v>
      </c>
      <c r="D18" s="180">
        <f>'การคลัง (2)'!S16</f>
        <v>33500</v>
      </c>
    </row>
    <row r="19" spans="1:4" ht="23.25">
      <c r="A19" s="585" t="s">
        <v>547</v>
      </c>
      <c r="B19" s="541">
        <v>40000</v>
      </c>
      <c r="C19" s="577">
        <f>'การคลัง (2)'!R17</f>
        <v>8100</v>
      </c>
      <c r="D19" s="180">
        <f>'การคลัง (2)'!S17</f>
        <v>31900</v>
      </c>
    </row>
    <row r="20" spans="1:5" ht="24" thickBot="1">
      <c r="A20" s="578" t="s">
        <v>542</v>
      </c>
      <c r="B20" s="579">
        <f>SUM(B16:B19)</f>
        <v>216000</v>
      </c>
      <c r="C20" s="528">
        <f>SUM(C16:C19)</f>
        <v>130600</v>
      </c>
      <c r="D20" s="528">
        <f>SUM(D16:D19)</f>
        <v>85400</v>
      </c>
      <c r="E20" s="278"/>
    </row>
    <row r="21" spans="1:4" ht="24" thickTop="1">
      <c r="A21" s="581" t="s">
        <v>23</v>
      </c>
      <c r="B21" s="583"/>
      <c r="C21" s="520"/>
      <c r="D21" s="520"/>
    </row>
    <row r="22" spans="1:4" ht="23.25">
      <c r="A22" s="585" t="s">
        <v>548</v>
      </c>
      <c r="B22" s="586"/>
      <c r="C22" s="520"/>
      <c r="D22" s="587"/>
    </row>
    <row r="23" spans="1:5" ht="23.25">
      <c r="A23" s="163" t="s">
        <v>16</v>
      </c>
      <c r="B23" s="541">
        <v>127000</v>
      </c>
      <c r="C23" s="577">
        <f>'การคลัง (2)'!R21</f>
        <v>116800</v>
      </c>
      <c r="D23" s="180">
        <f>'การคลัง (2)'!S21</f>
        <v>10200</v>
      </c>
      <c r="E23" s="278"/>
    </row>
    <row r="24" spans="1:5" ht="23.25">
      <c r="A24" s="163" t="s">
        <v>101</v>
      </c>
      <c r="B24" s="541">
        <v>3000</v>
      </c>
      <c r="C24" s="577">
        <f>'การคลัง (2)'!R22</f>
        <v>800</v>
      </c>
      <c r="D24" s="180">
        <f>'การคลัง (2)'!S22</f>
        <v>2200</v>
      </c>
      <c r="E24" s="278"/>
    </row>
    <row r="25" spans="1:5" ht="23.25">
      <c r="A25" s="163" t="s">
        <v>317</v>
      </c>
      <c r="B25" s="541">
        <v>18000</v>
      </c>
      <c r="C25" s="577">
        <f>'การคลัง (2)'!R23</f>
        <v>18000</v>
      </c>
      <c r="D25" s="180">
        <f>'การคลัง (2)'!S23</f>
        <v>0</v>
      </c>
      <c r="E25" s="278"/>
    </row>
    <row r="26" spans="1:6" ht="23.25">
      <c r="A26" s="163" t="s">
        <v>538</v>
      </c>
      <c r="B26" s="588"/>
      <c r="C26" s="577">
        <f>'การคลัง (2)'!R24</f>
        <v>0</v>
      </c>
      <c r="D26" s="180">
        <f>'การคลัง (2)'!S24</f>
        <v>0</v>
      </c>
      <c r="E26" s="278"/>
      <c r="F26" s="278"/>
    </row>
    <row r="27" spans="1:4" ht="23.25">
      <c r="A27" s="163" t="s">
        <v>55</v>
      </c>
      <c r="B27" s="541">
        <v>30000</v>
      </c>
      <c r="C27" s="577">
        <f>'การคลัง (2)'!R25</f>
        <v>16450</v>
      </c>
      <c r="D27" s="180">
        <f>'การคลัง (2)'!S25</f>
        <v>13550</v>
      </c>
    </row>
    <row r="28" spans="1:4" ht="23.25">
      <c r="A28" s="163" t="s">
        <v>195</v>
      </c>
      <c r="B28" s="541">
        <v>100000</v>
      </c>
      <c r="C28" s="577">
        <f>'การคลัง (2)'!R26</f>
        <v>0</v>
      </c>
      <c r="D28" s="180">
        <f>'การคลัง (2)'!S26</f>
        <v>100000</v>
      </c>
    </row>
    <row r="29" spans="1:4" ht="23.25">
      <c r="A29" s="163" t="s">
        <v>299</v>
      </c>
      <c r="B29" s="541"/>
      <c r="C29" s="577">
        <f>'การคลัง (2)'!R27</f>
        <v>0</v>
      </c>
      <c r="D29" s="180">
        <f>'การคลัง (2)'!S27</f>
        <v>0</v>
      </c>
    </row>
    <row r="30" spans="1:4" ht="23.25">
      <c r="A30" s="529" t="s">
        <v>549</v>
      </c>
      <c r="B30" s="589"/>
      <c r="C30" s="577"/>
      <c r="D30" s="180"/>
    </row>
    <row r="31" spans="1:4" ht="24" thickBot="1">
      <c r="A31" s="4" t="s">
        <v>161</v>
      </c>
      <c r="B31" s="541">
        <v>20000</v>
      </c>
      <c r="C31" s="577">
        <f>'การคลัง (2)'!R29</f>
        <v>1560</v>
      </c>
      <c r="D31" s="180">
        <f>'การคลัง (2)'!S29</f>
        <v>18440</v>
      </c>
    </row>
    <row r="32" spans="1:4" ht="24.75" thickBot="1" thickTop="1">
      <c r="A32" s="578" t="s">
        <v>500</v>
      </c>
      <c r="B32" s="590">
        <f>SUM(B23:B31)</f>
        <v>298000</v>
      </c>
      <c r="C32" s="590">
        <f>SUM(C23:C31)</f>
        <v>153610</v>
      </c>
      <c r="D32" s="590">
        <f>SUM(D23:D31)</f>
        <v>144390</v>
      </c>
    </row>
    <row r="33" spans="1:4" ht="24" thickTop="1">
      <c r="A33" s="581" t="s">
        <v>17</v>
      </c>
      <c r="B33" s="591"/>
      <c r="C33" s="582"/>
      <c r="D33" s="535"/>
    </row>
    <row r="34" spans="1:4" ht="23.25">
      <c r="A34" s="581" t="s">
        <v>550</v>
      </c>
      <c r="B34" s="541">
        <v>30000</v>
      </c>
      <c r="C34" s="577">
        <f>'การคลัง (2)'!R32</f>
        <v>15566</v>
      </c>
      <c r="D34" s="180">
        <f>'การคลัง (2)'!S32</f>
        <v>14434</v>
      </c>
    </row>
    <row r="35" spans="1:4" ht="24" thickBot="1">
      <c r="A35" s="585" t="s">
        <v>551</v>
      </c>
      <c r="B35" s="541">
        <v>30000</v>
      </c>
      <c r="C35" s="577">
        <f>'การคลัง (2)'!R33</f>
        <v>29080</v>
      </c>
      <c r="D35" s="180">
        <f>'การคลัง (2)'!S33</f>
        <v>920</v>
      </c>
    </row>
    <row r="36" spans="1:4" ht="24.75" thickBot="1" thickTop="1">
      <c r="A36" s="581"/>
      <c r="B36" s="572">
        <f>SUM(B34:B35)</f>
        <v>60000</v>
      </c>
      <c r="C36" s="592">
        <f>SUM(C34:C35)</f>
        <v>44646</v>
      </c>
      <c r="D36" s="592">
        <f>SUM(D34:D35)</f>
        <v>15354</v>
      </c>
    </row>
    <row r="37" spans="1:4" ht="24" thickTop="1">
      <c r="A37" s="529" t="s">
        <v>412</v>
      </c>
      <c r="B37" s="538"/>
      <c r="C37" s="582"/>
      <c r="D37" s="582"/>
    </row>
    <row r="38" spans="1:4" ht="24" thickBot="1">
      <c r="A38" s="4" t="s">
        <v>424</v>
      </c>
      <c r="B38" s="541">
        <v>30000</v>
      </c>
      <c r="C38" s="577">
        <f>'การคลัง (2)'!R36</f>
        <v>0</v>
      </c>
      <c r="D38" s="180">
        <f>'การคลัง (2)'!S36</f>
        <v>30000</v>
      </c>
    </row>
    <row r="39" spans="1:4" ht="24.75" thickBot="1" thickTop="1">
      <c r="A39" s="529"/>
      <c r="B39" s="579">
        <f>SUM(B38)</f>
        <v>30000</v>
      </c>
      <c r="C39" s="593">
        <f>C38</f>
        <v>0</v>
      </c>
      <c r="D39" s="593">
        <f>D38</f>
        <v>30000</v>
      </c>
    </row>
    <row r="40" spans="1:4" ht="24.75" thickBot="1" thickTop="1">
      <c r="A40" s="163"/>
      <c r="B40" s="594">
        <f>B9+B14+B20+B32+B36+B39</f>
        <v>2035000</v>
      </c>
      <c r="C40" s="594">
        <f>C9+C14+C20+C32+C36+C39</f>
        <v>1530676</v>
      </c>
      <c r="D40" s="594">
        <f>D9+D14+D20+D32+D36+D39</f>
        <v>504324</v>
      </c>
    </row>
    <row r="41" ht="24" thickTop="1"/>
    <row r="42" spans="1:4" ht="23.25">
      <c r="A42" s="278"/>
      <c r="B42" s="278"/>
      <c r="C42" s="278"/>
      <c r="D42" s="278"/>
    </row>
    <row r="43" spans="1:2" ht="23.25">
      <c r="A43" s="278"/>
      <c r="B43" s="278"/>
    </row>
    <row r="44" spans="2:3" ht="23.25">
      <c r="B44" s="278"/>
      <c r="C44" s="278"/>
    </row>
  </sheetData>
  <sheetProtection/>
  <mergeCells count="4">
    <mergeCell ref="A3:D3"/>
    <mergeCell ref="A4:A5"/>
    <mergeCell ref="A1:D1"/>
    <mergeCell ref="A2:D2"/>
  </mergeCells>
  <printOptions/>
  <pageMargins left="0.8267716535433072" right="0.1968503937007874" top="0.7086614173228347" bottom="0.5905511811023623" header="0.5905511811023623" footer="0.4330708661417323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zoomScaleSheetLayoutView="100" zoomScalePageLayoutView="0" workbookViewId="0" topLeftCell="A1">
      <pane xSplit="5" ySplit="3" topLeftCell="K28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41" sqref="D41"/>
    </sheetView>
  </sheetViews>
  <sheetFormatPr defaultColWidth="9.140625" defaultRowHeight="23.25"/>
  <cols>
    <col min="1" max="1" width="31.7109375" style="167" customWidth="1"/>
    <col min="2" max="2" width="12.421875" style="167" customWidth="1"/>
    <col min="3" max="3" width="8.421875" style="167" customWidth="1"/>
    <col min="4" max="4" width="8.57421875" style="167" customWidth="1"/>
    <col min="5" max="5" width="10.00390625" style="167" customWidth="1"/>
    <col min="6" max="6" width="8.7109375" style="167" customWidth="1"/>
    <col min="7" max="7" width="9.140625" style="167" customWidth="1"/>
    <col min="8" max="8" width="9.00390625" style="167" customWidth="1"/>
    <col min="9" max="9" width="9.140625" style="167" customWidth="1"/>
    <col min="10" max="10" width="8.7109375" style="167" customWidth="1"/>
    <col min="11" max="11" width="9.140625" style="167" customWidth="1"/>
    <col min="12" max="12" width="8.8515625" style="167" customWidth="1"/>
    <col min="13" max="13" width="9.28125" style="167" customWidth="1"/>
    <col min="14" max="15" width="9.00390625" style="167" customWidth="1"/>
    <col min="16" max="16" width="9.140625" style="167" customWidth="1"/>
    <col min="17" max="17" width="9.28125" style="167" customWidth="1"/>
    <col min="18" max="18" width="11.28125" style="167" customWidth="1"/>
    <col min="19" max="19" width="13.8515625" style="167" customWidth="1"/>
    <col min="20" max="20" width="10.28125" style="167" bestFit="1" customWidth="1"/>
    <col min="21" max="21" width="11.421875" style="167" bestFit="1" customWidth="1"/>
    <col min="22" max="16384" width="9.140625" style="167" customWidth="1"/>
  </cols>
  <sheetData>
    <row r="1" spans="1:19" ht="23.25">
      <c r="A1" s="658" t="s">
        <v>489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</row>
    <row r="2" spans="1:19" ht="23.25">
      <c r="A2" s="659" t="s">
        <v>4</v>
      </c>
      <c r="B2" s="510"/>
      <c r="C2" s="120" t="s">
        <v>9</v>
      </c>
      <c r="D2" s="124" t="s">
        <v>9</v>
      </c>
      <c r="E2" s="124" t="s">
        <v>25</v>
      </c>
      <c r="F2" s="124" t="s">
        <v>26</v>
      </c>
      <c r="G2" s="120" t="s">
        <v>27</v>
      </c>
      <c r="H2" s="120" t="s">
        <v>28</v>
      </c>
      <c r="I2" s="121" t="s">
        <v>29</v>
      </c>
      <c r="J2" s="120" t="s">
        <v>30</v>
      </c>
      <c r="K2" s="121" t="s">
        <v>31</v>
      </c>
      <c r="L2" s="120" t="s">
        <v>32</v>
      </c>
      <c r="M2" s="121" t="s">
        <v>33</v>
      </c>
      <c r="N2" s="120" t="s">
        <v>34</v>
      </c>
      <c r="O2" s="121" t="s">
        <v>35</v>
      </c>
      <c r="P2" s="120" t="s">
        <v>36</v>
      </c>
      <c r="Q2" s="125" t="s">
        <v>37</v>
      </c>
      <c r="R2" s="125" t="s">
        <v>25</v>
      </c>
      <c r="S2" s="120" t="s">
        <v>6</v>
      </c>
    </row>
    <row r="3" spans="1:19" ht="23.25">
      <c r="A3" s="660"/>
      <c r="B3" s="127" t="s">
        <v>52</v>
      </c>
      <c r="C3" s="95" t="s">
        <v>10</v>
      </c>
      <c r="D3" s="126" t="s">
        <v>11</v>
      </c>
      <c r="E3" s="126"/>
      <c r="F3" s="189"/>
      <c r="G3" s="182"/>
      <c r="H3" s="182"/>
      <c r="I3" s="172"/>
      <c r="J3" s="182"/>
      <c r="K3" s="172"/>
      <c r="L3" s="182"/>
      <c r="M3" s="172"/>
      <c r="N3" s="182"/>
      <c r="O3" s="172"/>
      <c r="P3" s="182"/>
      <c r="Q3" s="190"/>
      <c r="R3" s="99"/>
      <c r="S3" s="95" t="s">
        <v>5</v>
      </c>
    </row>
    <row r="4" spans="1:19" ht="23.25">
      <c r="A4" s="7" t="s">
        <v>134</v>
      </c>
      <c r="B4" s="506"/>
      <c r="C4" s="50"/>
      <c r="D4" s="50"/>
      <c r="E4" s="5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  <c r="S4" s="52"/>
    </row>
    <row r="5" spans="1:20" ht="23.25">
      <c r="A5" s="30" t="s">
        <v>72</v>
      </c>
      <c r="B5" s="52">
        <v>1229580</v>
      </c>
      <c r="C5" s="52"/>
      <c r="D5" s="52">
        <v>0</v>
      </c>
      <c r="E5" s="52">
        <f>+B5+C5-D5</f>
        <v>1229580</v>
      </c>
      <c r="F5" s="52">
        <v>100540</v>
      </c>
      <c r="G5" s="52">
        <v>80960</v>
      </c>
      <c r="H5" s="52">
        <v>80960</v>
      </c>
      <c r="I5" s="52">
        <v>80960</v>
      </c>
      <c r="J5" s="52">
        <v>80960</v>
      </c>
      <c r="K5" s="52">
        <v>80960</v>
      </c>
      <c r="L5" s="52">
        <v>82510</v>
      </c>
      <c r="M5" s="52">
        <v>82510</v>
      </c>
      <c r="N5" s="52">
        <v>82510</v>
      </c>
      <c r="O5" s="52">
        <v>82510</v>
      </c>
      <c r="P5" s="52">
        <v>82510</v>
      </c>
      <c r="Q5" s="52">
        <v>82510</v>
      </c>
      <c r="R5" s="52">
        <f>SUM(F5:Q5)</f>
        <v>1000400</v>
      </c>
      <c r="S5" s="135">
        <f>+E5-R5</f>
        <v>229180</v>
      </c>
      <c r="T5" s="278"/>
    </row>
    <row r="6" spans="1:21" ht="23.25">
      <c r="A6" s="10" t="s">
        <v>245</v>
      </c>
      <c r="B6" s="52">
        <v>42000</v>
      </c>
      <c r="C6" s="52"/>
      <c r="D6" s="52"/>
      <c r="E6" s="52">
        <f>+B6+C6-D6</f>
        <v>42000</v>
      </c>
      <c r="F6" s="89">
        <v>3500</v>
      </c>
      <c r="G6" s="89">
        <v>3500</v>
      </c>
      <c r="H6" s="89">
        <v>3500</v>
      </c>
      <c r="I6" s="89">
        <v>3500</v>
      </c>
      <c r="J6" s="89">
        <v>3500</v>
      </c>
      <c r="K6" s="89">
        <v>3500</v>
      </c>
      <c r="L6" s="89">
        <v>3500</v>
      </c>
      <c r="M6" s="89">
        <v>3500</v>
      </c>
      <c r="N6" s="89">
        <v>3500</v>
      </c>
      <c r="O6" s="89">
        <v>3500</v>
      </c>
      <c r="P6" s="89">
        <v>3500</v>
      </c>
      <c r="Q6" s="89">
        <v>3500</v>
      </c>
      <c r="R6" s="52">
        <f>SUM(F6:Q6)</f>
        <v>42000</v>
      </c>
      <c r="S6" s="135">
        <f>+E6-R6</f>
        <v>0</v>
      </c>
      <c r="U6" s="278"/>
    </row>
    <row r="7" spans="1:19" ht="24" thickBot="1">
      <c r="A7" s="1" t="s">
        <v>534</v>
      </c>
      <c r="B7" s="242">
        <f>E7</f>
        <v>1271580</v>
      </c>
      <c r="C7" s="52"/>
      <c r="D7" s="52"/>
      <c r="E7" s="91">
        <f>SUM(E5:E6)</f>
        <v>1271580</v>
      </c>
      <c r="F7" s="91">
        <f aca="true" t="shared" si="0" ref="F7:S7">SUM(F5:F6)</f>
        <v>104040</v>
      </c>
      <c r="G7" s="91">
        <f t="shared" si="0"/>
        <v>84460</v>
      </c>
      <c r="H7" s="91">
        <f t="shared" si="0"/>
        <v>84460</v>
      </c>
      <c r="I7" s="91">
        <f t="shared" si="0"/>
        <v>84460</v>
      </c>
      <c r="J7" s="91">
        <f t="shared" si="0"/>
        <v>84460</v>
      </c>
      <c r="K7" s="91">
        <f t="shared" si="0"/>
        <v>84460</v>
      </c>
      <c r="L7" s="91">
        <f t="shared" si="0"/>
        <v>86010</v>
      </c>
      <c r="M7" s="91">
        <f t="shared" si="0"/>
        <v>86010</v>
      </c>
      <c r="N7" s="91">
        <f t="shared" si="0"/>
        <v>86010</v>
      </c>
      <c r="O7" s="91">
        <f t="shared" si="0"/>
        <v>86010</v>
      </c>
      <c r="P7" s="91">
        <f t="shared" si="0"/>
        <v>86010</v>
      </c>
      <c r="Q7" s="91">
        <f t="shared" si="0"/>
        <v>86010</v>
      </c>
      <c r="R7" s="91">
        <f t="shared" si="0"/>
        <v>1042400</v>
      </c>
      <c r="S7" s="91">
        <f t="shared" si="0"/>
        <v>229180</v>
      </c>
    </row>
    <row r="8" spans="1:19" ht="24" thickTop="1">
      <c r="A8" s="105" t="s">
        <v>535</v>
      </c>
      <c r="B8" s="37"/>
      <c r="C8" s="50"/>
      <c r="D8" s="50"/>
      <c r="E8" s="37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139"/>
      <c r="S8" s="139"/>
    </row>
    <row r="9" spans="1:19" ht="23.25">
      <c r="A9" s="105" t="s">
        <v>70</v>
      </c>
      <c r="B9" s="506"/>
      <c r="C9" s="50"/>
      <c r="D9" s="50"/>
      <c r="E9" s="50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35"/>
      <c r="S9" s="135"/>
    </row>
    <row r="10" spans="1:21" ht="23.25">
      <c r="A10" s="144" t="s">
        <v>63</v>
      </c>
      <c r="B10" s="36">
        <v>138240</v>
      </c>
      <c r="C10" s="36">
        <v>0</v>
      </c>
      <c r="D10" s="36">
        <v>0</v>
      </c>
      <c r="E10" s="52">
        <f>+B10+C10-D10</f>
        <v>138240</v>
      </c>
      <c r="F10" s="52">
        <v>0</v>
      </c>
      <c r="G10" s="52">
        <f>11520*2</f>
        <v>23040</v>
      </c>
      <c r="H10" s="52">
        <v>11520</v>
      </c>
      <c r="I10" s="52">
        <v>11520</v>
      </c>
      <c r="J10" s="52">
        <v>11520</v>
      </c>
      <c r="K10" s="52">
        <v>11520</v>
      </c>
      <c r="L10" s="52">
        <v>11520</v>
      </c>
      <c r="M10" s="52">
        <v>11520</v>
      </c>
      <c r="N10" s="52">
        <v>11520</v>
      </c>
      <c r="O10" s="52">
        <v>11520</v>
      </c>
      <c r="P10" s="52">
        <v>11520</v>
      </c>
      <c r="Q10" s="52">
        <v>11520</v>
      </c>
      <c r="R10" s="52">
        <f>SUM(F10:Q10)</f>
        <v>138240</v>
      </c>
      <c r="S10" s="135">
        <f>+E10-R10</f>
        <v>0</v>
      </c>
      <c r="U10" s="278"/>
    </row>
    <row r="11" spans="1:19" ht="23.25">
      <c r="A11" s="144" t="s">
        <v>45</v>
      </c>
      <c r="B11" s="52">
        <v>21180</v>
      </c>
      <c r="C11" s="52">
        <v>0</v>
      </c>
      <c r="D11" s="52"/>
      <c r="E11" s="52">
        <f>+B11+C11-D11</f>
        <v>21180</v>
      </c>
      <c r="F11" s="52">
        <v>0</v>
      </c>
      <c r="G11" s="52">
        <f>1765*2</f>
        <v>3530</v>
      </c>
      <c r="H11" s="52">
        <v>1765</v>
      </c>
      <c r="I11" s="52">
        <v>1765</v>
      </c>
      <c r="J11" s="52">
        <v>1765</v>
      </c>
      <c r="K11" s="52">
        <v>1765</v>
      </c>
      <c r="L11" s="52">
        <v>1765</v>
      </c>
      <c r="M11" s="52">
        <v>1765</v>
      </c>
      <c r="N11" s="52">
        <v>1765</v>
      </c>
      <c r="O11" s="52">
        <v>1765</v>
      </c>
      <c r="P11" s="52">
        <v>1765</v>
      </c>
      <c r="Q11" s="52">
        <v>1765</v>
      </c>
      <c r="R11" s="52">
        <f>SUM(F11:Q11)</f>
        <v>21180</v>
      </c>
      <c r="S11" s="135">
        <f>+E11-R11</f>
        <v>0</v>
      </c>
    </row>
    <row r="12" spans="1:20" ht="24" thickBot="1">
      <c r="A12" s="1" t="s">
        <v>541</v>
      </c>
      <c r="B12" s="242">
        <f>E12</f>
        <v>159420</v>
      </c>
      <c r="C12" s="50"/>
      <c r="D12" s="50"/>
      <c r="E12" s="158">
        <f>SUM(E10:E11)</f>
        <v>159420</v>
      </c>
      <c r="F12" s="91">
        <f>SUM(F10:F11)</f>
        <v>0</v>
      </c>
      <c r="G12" s="91">
        <f>SUM(G10:G11)</f>
        <v>26570</v>
      </c>
      <c r="H12" s="91">
        <f aca="true" t="shared" si="1" ref="H12:S12">SUM(H10:H11)</f>
        <v>13285</v>
      </c>
      <c r="I12" s="91">
        <f t="shared" si="1"/>
        <v>13285</v>
      </c>
      <c r="J12" s="91">
        <f t="shared" si="1"/>
        <v>13285</v>
      </c>
      <c r="K12" s="91">
        <f t="shared" si="1"/>
        <v>13285</v>
      </c>
      <c r="L12" s="91">
        <f t="shared" si="1"/>
        <v>13285</v>
      </c>
      <c r="M12" s="91">
        <f t="shared" si="1"/>
        <v>13285</v>
      </c>
      <c r="N12" s="91">
        <f t="shared" si="1"/>
        <v>13285</v>
      </c>
      <c r="O12" s="91">
        <f t="shared" si="1"/>
        <v>13285</v>
      </c>
      <c r="P12" s="91">
        <f t="shared" si="1"/>
        <v>13285</v>
      </c>
      <c r="Q12" s="91">
        <f t="shared" si="1"/>
        <v>13285</v>
      </c>
      <c r="R12" s="136">
        <f t="shared" si="1"/>
        <v>159420</v>
      </c>
      <c r="S12" s="136">
        <f t="shared" si="1"/>
        <v>0</v>
      </c>
      <c r="T12" s="278"/>
    </row>
    <row r="13" spans="1:19" ht="24" thickTop="1">
      <c r="A13" s="105" t="s">
        <v>93</v>
      </c>
      <c r="B13" s="505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35"/>
      <c r="S13" s="135"/>
    </row>
    <row r="14" spans="1:20" ht="23.25">
      <c r="A14" s="194" t="s">
        <v>364</v>
      </c>
      <c r="B14" s="36">
        <v>10000</v>
      </c>
      <c r="C14" s="36"/>
      <c r="D14" s="36"/>
      <c r="E14" s="52">
        <f>+B14+C14-D14</f>
        <v>10000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>
        <f>SUM(F14:Q14)</f>
        <v>0</v>
      </c>
      <c r="S14" s="135">
        <f>+E14-R14</f>
        <v>10000</v>
      </c>
      <c r="T14" s="278"/>
    </row>
    <row r="15" spans="1:21" ht="23.25">
      <c r="A15" s="194" t="s">
        <v>361</v>
      </c>
      <c r="B15" s="36">
        <v>10000</v>
      </c>
      <c r="C15" s="36"/>
      <c r="D15" s="36"/>
      <c r="E15" s="52">
        <f>+B15+C15-D15</f>
        <v>10000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f>SUM(F15:Q15)</f>
        <v>0</v>
      </c>
      <c r="S15" s="135">
        <f>+E15-R15</f>
        <v>10000</v>
      </c>
      <c r="T15" s="278"/>
      <c r="U15" s="278"/>
    </row>
    <row r="16" spans="1:19" ht="23.25">
      <c r="A16" s="194" t="s">
        <v>362</v>
      </c>
      <c r="B16" s="36">
        <v>156000</v>
      </c>
      <c r="C16" s="36"/>
      <c r="D16" s="36"/>
      <c r="E16" s="52">
        <f>+B16+C16-D16</f>
        <v>156000</v>
      </c>
      <c r="F16" s="52">
        <v>0</v>
      </c>
      <c r="G16" s="52">
        <f>3500+3500+3000+2500</f>
        <v>12500</v>
      </c>
      <c r="H16" s="52">
        <f>3500+3500+3000</f>
        <v>10000</v>
      </c>
      <c r="I16" s="52">
        <f>3500+3500+3000</f>
        <v>10000</v>
      </c>
      <c r="J16" s="52">
        <v>10000</v>
      </c>
      <c r="K16" s="52">
        <v>10000</v>
      </c>
      <c r="L16" s="52">
        <v>10000</v>
      </c>
      <c r="M16" s="52">
        <v>10000</v>
      </c>
      <c r="N16" s="52">
        <v>10000</v>
      </c>
      <c r="O16" s="52">
        <v>10000</v>
      </c>
      <c r="P16" s="52">
        <v>10000</v>
      </c>
      <c r="Q16" s="52">
        <v>20000</v>
      </c>
      <c r="R16" s="52">
        <f>SUM(F16:Q16)</f>
        <v>122500</v>
      </c>
      <c r="S16" s="135">
        <f>+E16-R16</f>
        <v>33500</v>
      </c>
    </row>
    <row r="17" spans="1:19" ht="23.25">
      <c r="A17" s="160" t="s">
        <v>363</v>
      </c>
      <c r="B17" s="36">
        <v>40000</v>
      </c>
      <c r="C17" s="36"/>
      <c r="D17" s="36"/>
      <c r="E17" s="52">
        <f>+B17+C17-D17</f>
        <v>40000</v>
      </c>
      <c r="F17" s="52">
        <v>0</v>
      </c>
      <c r="G17" s="52">
        <v>0</v>
      </c>
      <c r="H17" s="52">
        <v>300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7800</v>
      </c>
      <c r="P17" s="52">
        <v>0</v>
      </c>
      <c r="Q17" s="52">
        <v>0</v>
      </c>
      <c r="R17" s="52">
        <f>SUM(F17:Q17)</f>
        <v>8100</v>
      </c>
      <c r="S17" s="135">
        <f>+E17-R17</f>
        <v>31900</v>
      </c>
    </row>
    <row r="18" spans="1:20" ht="24" thickBot="1">
      <c r="A18" s="1" t="s">
        <v>542</v>
      </c>
      <c r="B18" s="242">
        <f>E18</f>
        <v>216000</v>
      </c>
      <c r="C18" s="50"/>
      <c r="D18" s="50"/>
      <c r="E18" s="158">
        <f aca="true" t="shared" si="2" ref="E18:S18">SUM(E14:E17)</f>
        <v>216000</v>
      </c>
      <c r="F18" s="91">
        <f t="shared" si="2"/>
        <v>0</v>
      </c>
      <c r="G18" s="91">
        <f t="shared" si="2"/>
        <v>12500</v>
      </c>
      <c r="H18" s="91">
        <f t="shared" si="2"/>
        <v>10300</v>
      </c>
      <c r="I18" s="91">
        <f t="shared" si="2"/>
        <v>10000</v>
      </c>
      <c r="J18" s="91">
        <f t="shared" si="2"/>
        <v>10000</v>
      </c>
      <c r="K18" s="91">
        <f t="shared" si="2"/>
        <v>10000</v>
      </c>
      <c r="L18" s="91">
        <f t="shared" si="2"/>
        <v>10000</v>
      </c>
      <c r="M18" s="91">
        <f t="shared" si="2"/>
        <v>10000</v>
      </c>
      <c r="N18" s="91">
        <f t="shared" si="2"/>
        <v>10000</v>
      </c>
      <c r="O18" s="91">
        <f t="shared" si="2"/>
        <v>17800</v>
      </c>
      <c r="P18" s="91">
        <f t="shared" si="2"/>
        <v>10000</v>
      </c>
      <c r="Q18" s="91">
        <f t="shared" si="2"/>
        <v>20000</v>
      </c>
      <c r="R18" s="136">
        <f t="shared" si="2"/>
        <v>130600</v>
      </c>
      <c r="S18" s="136">
        <f t="shared" si="2"/>
        <v>85400</v>
      </c>
      <c r="T18" s="278"/>
    </row>
    <row r="19" spans="1:19" ht="24" thickTop="1">
      <c r="A19" s="105" t="s">
        <v>23</v>
      </c>
      <c r="B19" s="505"/>
      <c r="C19" s="16"/>
      <c r="D19" s="16"/>
      <c r="E19" s="14"/>
      <c r="F19" s="148"/>
      <c r="G19" s="148"/>
      <c r="H19" s="148"/>
      <c r="I19" s="148"/>
      <c r="J19" s="148"/>
      <c r="K19" s="47"/>
      <c r="L19" s="47"/>
      <c r="M19" s="148"/>
      <c r="N19" s="148"/>
      <c r="O19" s="148"/>
      <c r="P19" s="148"/>
      <c r="Q19" s="148"/>
      <c r="R19" s="48"/>
      <c r="S19" s="48"/>
    </row>
    <row r="20" spans="1:19" ht="23.25">
      <c r="A20" s="160" t="s">
        <v>536</v>
      </c>
      <c r="B20" s="241"/>
      <c r="C20" s="143"/>
      <c r="D20" s="143"/>
      <c r="E20" s="143"/>
      <c r="F20" s="144"/>
      <c r="G20" s="144"/>
      <c r="H20" s="144"/>
      <c r="I20" s="144"/>
      <c r="J20" s="144"/>
      <c r="K20" s="22"/>
      <c r="L20" s="144"/>
      <c r="M20" s="144"/>
      <c r="N20" s="144"/>
      <c r="O20" s="144"/>
      <c r="P20" s="144"/>
      <c r="Q20" s="144"/>
      <c r="R20" s="48"/>
      <c r="S20" s="9"/>
    </row>
    <row r="21" spans="1:20" ht="23.25">
      <c r="A21" s="144" t="s">
        <v>16</v>
      </c>
      <c r="B21" s="36">
        <v>127000</v>
      </c>
      <c r="C21" s="36">
        <v>0</v>
      </c>
      <c r="D21" s="36">
        <v>0</v>
      </c>
      <c r="E21" s="52">
        <f>+B21+C21-D21</f>
        <v>127000</v>
      </c>
      <c r="F21" s="52">
        <f>7800+12000</f>
        <v>19800</v>
      </c>
      <c r="G21" s="52">
        <v>3800</v>
      </c>
      <c r="H21" s="52">
        <v>0</v>
      </c>
      <c r="I21" s="52">
        <f>500</f>
        <v>500</v>
      </c>
      <c r="J21" s="52">
        <f>3900+9000</f>
        <v>12900</v>
      </c>
      <c r="K21" s="52">
        <v>34000</v>
      </c>
      <c r="L21" s="52">
        <v>3900</v>
      </c>
      <c r="M21" s="52">
        <v>34000</v>
      </c>
      <c r="N21" s="52">
        <v>0</v>
      </c>
      <c r="O21" s="52">
        <v>0</v>
      </c>
      <c r="P21" s="52">
        <v>7900</v>
      </c>
      <c r="Q21" s="52">
        <v>0</v>
      </c>
      <c r="R21" s="52">
        <f>SUM(F21:Q21)</f>
        <v>116800</v>
      </c>
      <c r="S21" s="135">
        <f>+E21-R21</f>
        <v>10200</v>
      </c>
      <c r="T21" s="278"/>
    </row>
    <row r="22" spans="1:20" ht="23.25">
      <c r="A22" s="144" t="s">
        <v>101</v>
      </c>
      <c r="B22" s="36">
        <v>3000</v>
      </c>
      <c r="C22" s="36"/>
      <c r="D22" s="36">
        <v>0</v>
      </c>
      <c r="E22" s="52">
        <f>+B22+C22-D22</f>
        <v>3000</v>
      </c>
      <c r="F22" s="52">
        <v>0</v>
      </c>
      <c r="G22" s="52">
        <v>800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f>SUM(F22:Q22)</f>
        <v>800</v>
      </c>
      <c r="S22" s="135">
        <f>+E22-R22</f>
        <v>2200</v>
      </c>
      <c r="T22" s="278"/>
    </row>
    <row r="23" spans="1:20" ht="23.25">
      <c r="A23" s="144" t="s">
        <v>317</v>
      </c>
      <c r="B23" s="36">
        <v>18000</v>
      </c>
      <c r="C23" s="36">
        <v>0</v>
      </c>
      <c r="D23" s="36"/>
      <c r="E23" s="52">
        <f>+B23+C23-D23</f>
        <v>18000</v>
      </c>
      <c r="F23" s="52">
        <v>0</v>
      </c>
      <c r="G23" s="52">
        <v>0</v>
      </c>
      <c r="H23" s="52">
        <v>1500</v>
      </c>
      <c r="I23" s="52">
        <v>1500</v>
      </c>
      <c r="J23" s="52">
        <v>1500</v>
      </c>
      <c r="K23" s="52">
        <v>1500</v>
      </c>
      <c r="L23" s="52">
        <v>1500</v>
      </c>
      <c r="M23" s="52">
        <v>1500</v>
      </c>
      <c r="N23" s="52">
        <v>1500</v>
      </c>
      <c r="O23" s="52">
        <v>1500</v>
      </c>
      <c r="P23" s="52">
        <v>1500</v>
      </c>
      <c r="Q23" s="52">
        <f>1500+3000</f>
        <v>4500</v>
      </c>
      <c r="R23" s="52">
        <f>SUM(F23:Q23)</f>
        <v>18000</v>
      </c>
      <c r="S23" s="135">
        <f>+E23-R23</f>
        <v>0</v>
      </c>
      <c r="T23" s="278"/>
    </row>
    <row r="24" spans="1:21" ht="23.25">
      <c r="A24" s="144" t="s">
        <v>538</v>
      </c>
      <c r="B24" s="571"/>
      <c r="C24" s="36"/>
      <c r="D24" s="36"/>
      <c r="E24" s="36"/>
      <c r="F24" s="144"/>
      <c r="G24" s="144"/>
      <c r="H24" s="52"/>
      <c r="I24" s="52"/>
      <c r="J24" s="52"/>
      <c r="K24" s="52"/>
      <c r="L24" s="52"/>
      <c r="M24" s="52"/>
      <c r="N24" s="52"/>
      <c r="O24" s="52"/>
      <c r="P24" s="144"/>
      <c r="Q24" s="144"/>
      <c r="R24" s="37"/>
      <c r="S24" s="37"/>
      <c r="T24" s="278"/>
      <c r="U24" s="278"/>
    </row>
    <row r="25" spans="1:19" ht="23.25">
      <c r="A25" s="144" t="s">
        <v>55</v>
      </c>
      <c r="B25" s="36">
        <v>30000</v>
      </c>
      <c r="C25" s="143"/>
      <c r="D25" s="143"/>
      <c r="E25" s="52">
        <f>+B25+C25-D25</f>
        <v>30000</v>
      </c>
      <c r="F25" s="52">
        <v>0</v>
      </c>
      <c r="G25" s="52">
        <v>0</v>
      </c>
      <c r="H25" s="52">
        <f>1142+992</f>
        <v>2134</v>
      </c>
      <c r="I25" s="52">
        <v>0</v>
      </c>
      <c r="J25" s="52">
        <v>0</v>
      </c>
      <c r="K25" s="52">
        <v>6204</v>
      </c>
      <c r="L25" s="52">
        <v>1872</v>
      </c>
      <c r="M25" s="52">
        <v>0</v>
      </c>
      <c r="N25" s="52">
        <f>1702+2288</f>
        <v>3990</v>
      </c>
      <c r="O25" s="52">
        <v>0</v>
      </c>
      <c r="P25" s="52">
        <v>864</v>
      </c>
      <c r="Q25" s="52">
        <v>1386</v>
      </c>
      <c r="R25" s="52">
        <f>SUM(F25:Q25)</f>
        <v>16450</v>
      </c>
      <c r="S25" s="135">
        <f>+E25-R25</f>
        <v>13550</v>
      </c>
    </row>
    <row r="26" spans="1:19" ht="23.25">
      <c r="A26" s="144" t="s">
        <v>195</v>
      </c>
      <c r="B26" s="36">
        <v>100000</v>
      </c>
      <c r="C26" s="301"/>
      <c r="D26" s="301"/>
      <c r="E26" s="52">
        <f>+B26+C26-D26</f>
        <v>100000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f>SUM(F26:Q26)</f>
        <v>0</v>
      </c>
      <c r="S26" s="135">
        <f>+E26-R26</f>
        <v>100000</v>
      </c>
    </row>
    <row r="27" spans="1:19" ht="23.25">
      <c r="A27" s="144" t="s">
        <v>299</v>
      </c>
      <c r="B27" s="36"/>
      <c r="C27" s="301"/>
      <c r="D27" s="301"/>
      <c r="E27" s="52">
        <f>+B27+C27-D27</f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f>SUM(F27:Q27)</f>
        <v>0</v>
      </c>
      <c r="S27" s="135">
        <f>+E27-R27</f>
        <v>0</v>
      </c>
    </row>
    <row r="28" spans="1:19" ht="23.25">
      <c r="A28" s="17" t="s">
        <v>537</v>
      </c>
      <c r="B28" s="282"/>
      <c r="C28" s="16"/>
      <c r="D28" s="16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ht="24" thickBot="1">
      <c r="A29" s="10" t="s">
        <v>161</v>
      </c>
      <c r="B29" s="36">
        <v>20000</v>
      </c>
      <c r="C29" s="143"/>
      <c r="D29" s="143"/>
      <c r="E29" s="52">
        <f>+B29+C29-D29</f>
        <v>20000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960</v>
      </c>
      <c r="Q29" s="52">
        <v>600</v>
      </c>
      <c r="R29" s="52">
        <f>SUM(F29:Q29)</f>
        <v>1560</v>
      </c>
      <c r="S29" s="135">
        <f>+E29-R29</f>
        <v>18440</v>
      </c>
    </row>
    <row r="30" spans="1:19" ht="24.75" thickBot="1" thickTop="1">
      <c r="A30" s="1" t="s">
        <v>500</v>
      </c>
      <c r="B30" s="575">
        <f>SUM(B21:B29)</f>
        <v>298000</v>
      </c>
      <c r="C30" s="575">
        <f aca="true" t="shared" si="3" ref="C30:S30">SUM(C21:C29)</f>
        <v>0</v>
      </c>
      <c r="D30" s="575">
        <f t="shared" si="3"/>
        <v>0</v>
      </c>
      <c r="E30" s="575">
        <f t="shared" si="3"/>
        <v>298000</v>
      </c>
      <c r="F30" s="575">
        <f t="shared" si="3"/>
        <v>19800</v>
      </c>
      <c r="G30" s="575">
        <f t="shared" si="3"/>
        <v>4600</v>
      </c>
      <c r="H30" s="575">
        <f t="shared" si="3"/>
        <v>3634</v>
      </c>
      <c r="I30" s="575">
        <f t="shared" si="3"/>
        <v>2000</v>
      </c>
      <c r="J30" s="575">
        <f t="shared" si="3"/>
        <v>14400</v>
      </c>
      <c r="K30" s="575">
        <f t="shared" si="3"/>
        <v>41704</v>
      </c>
      <c r="L30" s="575">
        <f t="shared" si="3"/>
        <v>7272</v>
      </c>
      <c r="M30" s="575">
        <f t="shared" si="3"/>
        <v>35500</v>
      </c>
      <c r="N30" s="575">
        <f t="shared" si="3"/>
        <v>5490</v>
      </c>
      <c r="O30" s="575">
        <f t="shared" si="3"/>
        <v>1500</v>
      </c>
      <c r="P30" s="575">
        <f t="shared" si="3"/>
        <v>11224</v>
      </c>
      <c r="Q30" s="575">
        <f t="shared" si="3"/>
        <v>6486</v>
      </c>
      <c r="R30" s="575">
        <f t="shared" si="3"/>
        <v>153610</v>
      </c>
      <c r="S30" s="575">
        <f t="shared" si="3"/>
        <v>144390</v>
      </c>
    </row>
    <row r="31" spans="1:19" ht="24" thickTop="1">
      <c r="A31" s="105" t="s">
        <v>17</v>
      </c>
      <c r="B31" s="574"/>
      <c r="C31" s="16"/>
      <c r="D31" s="16"/>
      <c r="E31" s="14"/>
      <c r="F31" s="148"/>
      <c r="G31" s="148"/>
      <c r="H31" s="148"/>
      <c r="I31" s="148"/>
      <c r="J31" s="148"/>
      <c r="K31" s="90"/>
      <c r="L31" s="90"/>
      <c r="M31" s="90"/>
      <c r="N31" s="90"/>
      <c r="O31" s="90"/>
      <c r="P31" s="148"/>
      <c r="Q31" s="148"/>
      <c r="R31" s="37"/>
      <c r="S31" s="139"/>
    </row>
    <row r="32" spans="1:19" ht="23.25">
      <c r="A32" s="105" t="s">
        <v>539</v>
      </c>
      <c r="B32" s="36">
        <v>30000</v>
      </c>
      <c r="C32" s="36">
        <v>0</v>
      </c>
      <c r="D32" s="36"/>
      <c r="E32" s="52">
        <f>+B32+C32-D32</f>
        <v>30000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10176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5390</v>
      </c>
      <c r="R32" s="52">
        <f>SUM(F32:Q32)</f>
        <v>15566</v>
      </c>
      <c r="S32" s="135">
        <f>+E32-R32</f>
        <v>14434</v>
      </c>
    </row>
    <row r="33" spans="1:19" ht="24" thickBot="1">
      <c r="A33" s="160" t="s">
        <v>540</v>
      </c>
      <c r="B33" s="36">
        <v>30000</v>
      </c>
      <c r="C33" s="36">
        <v>0</v>
      </c>
      <c r="D33" s="36"/>
      <c r="E33" s="52">
        <f>+B33+C33-D33</f>
        <v>30000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21880</v>
      </c>
      <c r="M33" s="52">
        <v>0</v>
      </c>
      <c r="N33" s="52">
        <v>0</v>
      </c>
      <c r="O33" s="52">
        <v>0</v>
      </c>
      <c r="P33" s="52">
        <v>0</v>
      </c>
      <c r="Q33" s="52">
        <v>7200</v>
      </c>
      <c r="R33" s="52">
        <f>SUM(F33:Q33)</f>
        <v>29080</v>
      </c>
      <c r="S33" s="135">
        <f>+E33-R33</f>
        <v>920</v>
      </c>
    </row>
    <row r="34" spans="1:19" ht="24.75" thickBot="1" thickTop="1">
      <c r="A34" s="105"/>
      <c r="B34" s="572">
        <f>E34</f>
        <v>60000</v>
      </c>
      <c r="C34" s="36"/>
      <c r="D34" s="36"/>
      <c r="E34" s="280">
        <f aca="true" t="shared" si="4" ref="E34:S34">SUM(E32:E33)</f>
        <v>60000</v>
      </c>
      <c r="F34" s="280">
        <f t="shared" si="4"/>
        <v>0</v>
      </c>
      <c r="G34" s="280">
        <f t="shared" si="4"/>
        <v>0</v>
      </c>
      <c r="H34" s="280">
        <f t="shared" si="4"/>
        <v>0</v>
      </c>
      <c r="I34" s="280">
        <f t="shared" si="4"/>
        <v>0</v>
      </c>
      <c r="J34" s="280">
        <f t="shared" si="4"/>
        <v>0</v>
      </c>
      <c r="K34" s="280">
        <f t="shared" si="4"/>
        <v>10176</v>
      </c>
      <c r="L34" s="280">
        <f t="shared" si="4"/>
        <v>21880</v>
      </c>
      <c r="M34" s="280">
        <f t="shared" si="4"/>
        <v>0</v>
      </c>
      <c r="N34" s="280">
        <f t="shared" si="4"/>
        <v>0</v>
      </c>
      <c r="O34" s="280">
        <f t="shared" si="4"/>
        <v>0</v>
      </c>
      <c r="P34" s="280">
        <f t="shared" si="4"/>
        <v>0</v>
      </c>
      <c r="Q34" s="280">
        <f t="shared" si="4"/>
        <v>12590</v>
      </c>
      <c r="R34" s="281">
        <f t="shared" si="4"/>
        <v>44646</v>
      </c>
      <c r="S34" s="281">
        <f t="shared" si="4"/>
        <v>15354</v>
      </c>
    </row>
    <row r="35" spans="1:19" ht="24" thickTop="1">
      <c r="A35" s="17" t="s">
        <v>412</v>
      </c>
      <c r="B35" s="23"/>
      <c r="C35" s="36"/>
      <c r="D35" s="36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37"/>
      <c r="S35" s="37"/>
    </row>
    <row r="36" spans="1:19" s="460" customFormat="1" ht="24" thickBot="1">
      <c r="A36" s="449" t="s">
        <v>424</v>
      </c>
      <c r="B36" s="458">
        <v>30000</v>
      </c>
      <c r="C36" s="458">
        <v>0</v>
      </c>
      <c r="D36" s="458"/>
      <c r="E36" s="459">
        <f>+B36+C36-D36</f>
        <v>30000</v>
      </c>
      <c r="F36" s="459">
        <v>0</v>
      </c>
      <c r="G36" s="459">
        <v>0</v>
      </c>
      <c r="H36" s="459">
        <v>0</v>
      </c>
      <c r="I36" s="459">
        <v>0</v>
      </c>
      <c r="J36" s="459">
        <v>0</v>
      </c>
      <c r="K36" s="459">
        <v>0</v>
      </c>
      <c r="L36" s="459">
        <v>0</v>
      </c>
      <c r="M36" s="459">
        <v>0</v>
      </c>
      <c r="N36" s="459">
        <v>0</v>
      </c>
      <c r="O36" s="459">
        <v>0</v>
      </c>
      <c r="P36" s="459">
        <v>0</v>
      </c>
      <c r="Q36" s="459">
        <v>0</v>
      </c>
      <c r="R36" s="459">
        <f>SUM(F36:Q36)</f>
        <v>0</v>
      </c>
      <c r="S36" s="447">
        <f>+E36-R36</f>
        <v>30000</v>
      </c>
    </row>
    <row r="37" spans="1:19" ht="24.75" thickBot="1" thickTop="1">
      <c r="A37" s="17"/>
      <c r="B37" s="242">
        <f>E37</f>
        <v>30000</v>
      </c>
      <c r="C37" s="36"/>
      <c r="D37" s="36"/>
      <c r="E37" s="280">
        <f>E36</f>
        <v>30000</v>
      </c>
      <c r="F37" s="280">
        <f aca="true" t="shared" si="5" ref="F37:S37">F36</f>
        <v>0</v>
      </c>
      <c r="G37" s="280">
        <f t="shared" si="5"/>
        <v>0</v>
      </c>
      <c r="H37" s="280">
        <f t="shared" si="5"/>
        <v>0</v>
      </c>
      <c r="I37" s="280">
        <f t="shared" si="5"/>
        <v>0</v>
      </c>
      <c r="J37" s="280">
        <f t="shared" si="5"/>
        <v>0</v>
      </c>
      <c r="K37" s="280">
        <f t="shared" si="5"/>
        <v>0</v>
      </c>
      <c r="L37" s="280">
        <f t="shared" si="5"/>
        <v>0</v>
      </c>
      <c r="M37" s="280">
        <f t="shared" si="5"/>
        <v>0</v>
      </c>
      <c r="N37" s="280">
        <f t="shared" si="5"/>
        <v>0</v>
      </c>
      <c r="O37" s="280">
        <f t="shared" si="5"/>
        <v>0</v>
      </c>
      <c r="P37" s="280">
        <f t="shared" si="5"/>
        <v>0</v>
      </c>
      <c r="Q37" s="280">
        <f t="shared" si="5"/>
        <v>0</v>
      </c>
      <c r="R37" s="280">
        <f t="shared" si="5"/>
        <v>0</v>
      </c>
      <c r="S37" s="280">
        <f t="shared" si="5"/>
        <v>30000</v>
      </c>
    </row>
    <row r="38" spans="1:19" ht="24.75" thickBot="1" thickTop="1">
      <c r="A38" s="144"/>
      <c r="B38" s="573">
        <f>E38</f>
        <v>2035000</v>
      </c>
      <c r="C38" s="144"/>
      <c r="D38" s="144"/>
      <c r="E38" s="188">
        <f>E7+E12+E18+E30+E34+E37</f>
        <v>2035000</v>
      </c>
      <c r="F38" s="188">
        <f aca="true" t="shared" si="6" ref="F38:S38">F7+F12+F18+F30+F34+F37</f>
        <v>123840</v>
      </c>
      <c r="G38" s="188">
        <f t="shared" si="6"/>
        <v>128130</v>
      </c>
      <c r="H38" s="188">
        <f t="shared" si="6"/>
        <v>111679</v>
      </c>
      <c r="I38" s="188">
        <f t="shared" si="6"/>
        <v>109745</v>
      </c>
      <c r="J38" s="188">
        <f t="shared" si="6"/>
        <v>122145</v>
      </c>
      <c r="K38" s="188">
        <f t="shared" si="6"/>
        <v>159625</v>
      </c>
      <c r="L38" s="188">
        <f t="shared" si="6"/>
        <v>138447</v>
      </c>
      <c r="M38" s="188">
        <f t="shared" si="6"/>
        <v>144795</v>
      </c>
      <c r="N38" s="188">
        <f t="shared" si="6"/>
        <v>114785</v>
      </c>
      <c r="O38" s="188">
        <f t="shared" si="6"/>
        <v>118595</v>
      </c>
      <c r="P38" s="188">
        <f t="shared" si="6"/>
        <v>120519</v>
      </c>
      <c r="Q38" s="188">
        <f t="shared" si="6"/>
        <v>138371</v>
      </c>
      <c r="R38" s="188">
        <f t="shared" si="6"/>
        <v>1530676</v>
      </c>
      <c r="S38" s="188">
        <f t="shared" si="6"/>
        <v>504324</v>
      </c>
    </row>
    <row r="39" spans="1:19" ht="24" thickTop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</row>
    <row r="40" spans="1:19" ht="39.75">
      <c r="A40" s="252"/>
      <c r="B40" s="142"/>
      <c r="C40" s="256"/>
      <c r="D40" s="256"/>
      <c r="E40" s="256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256"/>
      <c r="S40" s="256"/>
    </row>
    <row r="41" spans="1:19" ht="23.25">
      <c r="A41" s="256"/>
      <c r="B41" s="256"/>
      <c r="C41" s="142"/>
      <c r="D41" s="142"/>
      <c r="E41" s="256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</row>
    <row r="42" spans="1:19" ht="23.25">
      <c r="A42" s="142"/>
      <c r="B42" s="486"/>
      <c r="C42" s="142"/>
      <c r="D42" s="142"/>
      <c r="E42" s="142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>
        <f>P36</f>
        <v>0</v>
      </c>
      <c r="Q42" s="486">
        <f>Q36</f>
        <v>0</v>
      </c>
      <c r="R42" s="486">
        <f>R36</f>
        <v>0</v>
      </c>
      <c r="S42" s="142"/>
    </row>
    <row r="43" spans="1:19" ht="23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</row>
    <row r="44" spans="1:19" ht="23.25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</row>
    <row r="45" spans="1:14" ht="23.2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ht="23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ht="23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ht="23.2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</sheetData>
  <sheetProtection/>
  <mergeCells count="2">
    <mergeCell ref="A1:S1"/>
    <mergeCell ref="A2:A3"/>
  </mergeCells>
  <printOptions/>
  <pageMargins left="0.8267716535433072" right="0.1968503937007874" top="0.5118110236220472" bottom="0.1968503937007874" header="0.5905511811023623" footer="0.4330708661417323"/>
  <pageSetup horizontalDpi="300" verticalDpi="3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69"/>
  <sheetViews>
    <sheetView zoomScale="90" zoomScaleNormal="90" zoomScaleSheetLayoutView="100" zoomScalePageLayoutView="0" workbookViewId="0" topLeftCell="A1">
      <pane xSplit="7" ySplit="3" topLeftCell="L5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S44" sqref="S44"/>
    </sheetView>
  </sheetViews>
  <sheetFormatPr defaultColWidth="9.140625" defaultRowHeight="23.25"/>
  <cols>
    <col min="1" max="1" width="31.7109375" style="167" customWidth="1"/>
    <col min="2" max="3" width="7.28125" style="167" customWidth="1"/>
    <col min="4" max="4" width="12.421875" style="167" customWidth="1"/>
    <col min="5" max="5" width="8.421875" style="167" customWidth="1"/>
    <col min="6" max="6" width="8.57421875" style="167" customWidth="1"/>
    <col min="7" max="7" width="10.00390625" style="167" customWidth="1"/>
    <col min="8" max="8" width="8.7109375" style="167" customWidth="1"/>
    <col min="9" max="9" width="9.140625" style="167" customWidth="1"/>
    <col min="10" max="10" width="9.00390625" style="167" customWidth="1"/>
    <col min="11" max="11" width="9.140625" style="167" customWidth="1"/>
    <col min="12" max="12" width="8.7109375" style="167" customWidth="1"/>
    <col min="13" max="13" width="9.140625" style="167" customWidth="1"/>
    <col min="14" max="14" width="8.8515625" style="167" customWidth="1"/>
    <col min="15" max="15" width="9.28125" style="167" customWidth="1"/>
    <col min="16" max="17" width="9.00390625" style="167" customWidth="1"/>
    <col min="18" max="18" width="9.140625" style="167" customWidth="1"/>
    <col min="19" max="19" width="9.28125" style="167" customWidth="1"/>
    <col min="20" max="20" width="11.28125" style="167" customWidth="1"/>
    <col min="21" max="21" width="13.8515625" style="167" customWidth="1"/>
    <col min="22" max="22" width="10.28125" style="167" bestFit="1" customWidth="1"/>
    <col min="23" max="23" width="11.421875" style="167" bestFit="1" customWidth="1"/>
    <col min="24" max="16384" width="9.140625" style="167" customWidth="1"/>
  </cols>
  <sheetData>
    <row r="1" spans="1:21" ht="23.25">
      <c r="A1" s="658" t="s">
        <v>489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</row>
    <row r="2" spans="1:21" ht="23.25">
      <c r="A2" s="659" t="s">
        <v>4</v>
      </c>
      <c r="B2" s="119"/>
      <c r="C2" s="715" t="s">
        <v>51</v>
      </c>
      <c r="D2" s="715"/>
      <c r="E2" s="120" t="s">
        <v>9</v>
      </c>
      <c r="F2" s="124" t="s">
        <v>9</v>
      </c>
      <c r="G2" s="124" t="s">
        <v>25</v>
      </c>
      <c r="H2" s="124" t="s">
        <v>26</v>
      </c>
      <c r="I2" s="120" t="s">
        <v>27</v>
      </c>
      <c r="J2" s="120" t="s">
        <v>28</v>
      </c>
      <c r="K2" s="121" t="s">
        <v>29</v>
      </c>
      <c r="L2" s="120" t="s">
        <v>30</v>
      </c>
      <c r="M2" s="121" t="s">
        <v>31</v>
      </c>
      <c r="N2" s="120" t="s">
        <v>32</v>
      </c>
      <c r="O2" s="121" t="s">
        <v>33</v>
      </c>
      <c r="P2" s="120" t="s">
        <v>34</v>
      </c>
      <c r="Q2" s="121" t="s">
        <v>35</v>
      </c>
      <c r="R2" s="120" t="s">
        <v>36</v>
      </c>
      <c r="S2" s="125" t="s">
        <v>37</v>
      </c>
      <c r="T2" s="125" t="s">
        <v>25</v>
      </c>
      <c r="U2" s="120" t="s">
        <v>6</v>
      </c>
    </row>
    <row r="3" spans="1:21" ht="23.25">
      <c r="A3" s="660"/>
      <c r="B3" s="92" t="s">
        <v>8</v>
      </c>
      <c r="C3" s="93" t="s">
        <v>50</v>
      </c>
      <c r="D3" s="127" t="s">
        <v>52</v>
      </c>
      <c r="E3" s="95" t="s">
        <v>10</v>
      </c>
      <c r="F3" s="126" t="s">
        <v>11</v>
      </c>
      <c r="G3" s="126"/>
      <c r="H3" s="189"/>
      <c r="I3" s="182"/>
      <c r="J3" s="182"/>
      <c r="K3" s="172"/>
      <c r="L3" s="182"/>
      <c r="M3" s="172"/>
      <c r="N3" s="182"/>
      <c r="O3" s="172"/>
      <c r="P3" s="182"/>
      <c r="Q3" s="172"/>
      <c r="R3" s="182"/>
      <c r="S3" s="190"/>
      <c r="T3" s="99"/>
      <c r="U3" s="95" t="s">
        <v>5</v>
      </c>
    </row>
    <row r="4" spans="1:21" ht="23.25">
      <c r="A4" s="7" t="s">
        <v>198</v>
      </c>
      <c r="B4" s="8"/>
      <c r="C4" s="716">
        <f>C5+C17+D55</f>
        <v>2035000</v>
      </c>
      <c r="D4" s="717"/>
      <c r="E4" s="95"/>
      <c r="F4" s="126"/>
      <c r="G4" s="126"/>
      <c r="H4" s="189"/>
      <c r="I4" s="182"/>
      <c r="J4" s="182"/>
      <c r="K4" s="172"/>
      <c r="L4" s="182"/>
      <c r="M4" s="172"/>
      <c r="N4" s="182"/>
      <c r="O4" s="172"/>
      <c r="P4" s="182"/>
      <c r="Q4" s="172"/>
      <c r="R4" s="182"/>
      <c r="S4" s="190"/>
      <c r="T4" s="99"/>
      <c r="U4" s="95"/>
    </row>
    <row r="5" spans="1:21" ht="23.25">
      <c r="A5" s="7" t="s">
        <v>22</v>
      </c>
      <c r="B5" s="8"/>
      <c r="C5" s="716">
        <f>C8+C13</f>
        <v>1431000</v>
      </c>
      <c r="D5" s="717"/>
      <c r="E5" s="49"/>
      <c r="F5" s="49"/>
      <c r="G5" s="4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0"/>
      <c r="U5" s="52"/>
    </row>
    <row r="6" spans="1:21" ht="23.25">
      <c r="A6" s="12" t="s">
        <v>12</v>
      </c>
      <c r="B6" s="8"/>
      <c r="C6" s="8"/>
      <c r="D6" s="1"/>
      <c r="E6" s="50"/>
      <c r="F6" s="50"/>
      <c r="G6" s="50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0"/>
      <c r="U6" s="52"/>
    </row>
    <row r="7" spans="1:21" ht="23.25">
      <c r="A7" s="7" t="s">
        <v>15</v>
      </c>
      <c r="B7" s="8"/>
      <c r="C7" s="718"/>
      <c r="D7" s="714"/>
      <c r="E7" s="50"/>
      <c r="F7" s="50"/>
      <c r="G7" s="50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0"/>
      <c r="U7" s="52"/>
    </row>
    <row r="8" spans="1:21" ht="23.25">
      <c r="A8" s="7" t="s">
        <v>134</v>
      </c>
      <c r="B8" s="279" t="s">
        <v>135</v>
      </c>
      <c r="C8" s="708">
        <f>+D9+D10</f>
        <v>1271580</v>
      </c>
      <c r="D8" s="709"/>
      <c r="E8" s="50"/>
      <c r="F8" s="50"/>
      <c r="G8" s="50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0"/>
      <c r="U8" s="52"/>
    </row>
    <row r="9" spans="1:22" ht="23.25">
      <c r="A9" s="30" t="s">
        <v>72</v>
      </c>
      <c r="B9" s="279" t="s">
        <v>136</v>
      </c>
      <c r="C9" s="8"/>
      <c r="D9" s="52">
        <v>1229580</v>
      </c>
      <c r="E9" s="52"/>
      <c r="F9" s="52">
        <v>0</v>
      </c>
      <c r="G9" s="52">
        <f>+D9+E9-F9</f>
        <v>1229580</v>
      </c>
      <c r="H9" s="52">
        <v>100540</v>
      </c>
      <c r="I9" s="52">
        <v>80960</v>
      </c>
      <c r="J9" s="52">
        <v>80960</v>
      </c>
      <c r="K9" s="52">
        <v>80960</v>
      </c>
      <c r="L9" s="52">
        <v>80960</v>
      </c>
      <c r="M9" s="52">
        <v>80960</v>
      </c>
      <c r="N9" s="52">
        <v>82510</v>
      </c>
      <c r="O9" s="52">
        <v>82510</v>
      </c>
      <c r="P9" s="52">
        <v>82510</v>
      </c>
      <c r="Q9" s="52">
        <v>82510</v>
      </c>
      <c r="R9" s="52">
        <v>82510</v>
      </c>
      <c r="S9" s="52">
        <v>82510</v>
      </c>
      <c r="T9" s="52">
        <f>SUM(H9:S9)</f>
        <v>1000400</v>
      </c>
      <c r="U9" s="135">
        <f>+G9-T9</f>
        <v>229180</v>
      </c>
      <c r="V9" s="278"/>
    </row>
    <row r="10" spans="1:23" ht="23.25">
      <c r="A10" s="10" t="s">
        <v>245</v>
      </c>
      <c r="B10" s="279" t="s">
        <v>138</v>
      </c>
      <c r="C10" s="1"/>
      <c r="D10" s="52">
        <v>42000</v>
      </c>
      <c r="E10" s="52"/>
      <c r="F10" s="52"/>
      <c r="G10" s="52">
        <f>+D10+E10-F10</f>
        <v>42000</v>
      </c>
      <c r="H10" s="89">
        <v>3500</v>
      </c>
      <c r="I10" s="89">
        <v>3500</v>
      </c>
      <c r="J10" s="89">
        <v>3500</v>
      </c>
      <c r="K10" s="89">
        <v>3500</v>
      </c>
      <c r="L10" s="89">
        <v>3500</v>
      </c>
      <c r="M10" s="89">
        <v>3500</v>
      </c>
      <c r="N10" s="89">
        <v>3500</v>
      </c>
      <c r="O10" s="89">
        <v>3500</v>
      </c>
      <c r="P10" s="89">
        <v>3500</v>
      </c>
      <c r="Q10" s="89">
        <v>3500</v>
      </c>
      <c r="R10" s="89">
        <v>3500</v>
      </c>
      <c r="S10" s="89">
        <v>3500</v>
      </c>
      <c r="T10" s="52">
        <f>SUM(H10:S10)</f>
        <v>42000</v>
      </c>
      <c r="U10" s="135">
        <f>+G10-T10</f>
        <v>0</v>
      </c>
      <c r="W10" s="278"/>
    </row>
    <row r="11" spans="1:21" ht="24" thickBot="1">
      <c r="A11" s="105"/>
      <c r="B11" s="1"/>
      <c r="C11" s="1"/>
      <c r="D11" s="16" t="s">
        <v>0</v>
      </c>
      <c r="E11" s="52"/>
      <c r="F11" s="52"/>
      <c r="G11" s="91">
        <f>SUM(G9:G10)</f>
        <v>1271580</v>
      </c>
      <c r="H11" s="91">
        <f aca="true" t="shared" si="0" ref="H11:U11">SUM(H9:H10)</f>
        <v>104040</v>
      </c>
      <c r="I11" s="91">
        <f t="shared" si="0"/>
        <v>84460</v>
      </c>
      <c r="J11" s="91">
        <f t="shared" si="0"/>
        <v>84460</v>
      </c>
      <c r="K11" s="91">
        <f t="shared" si="0"/>
        <v>84460</v>
      </c>
      <c r="L11" s="91">
        <f t="shared" si="0"/>
        <v>84460</v>
      </c>
      <c r="M11" s="91">
        <f t="shared" si="0"/>
        <v>84460</v>
      </c>
      <c r="N11" s="91">
        <f t="shared" si="0"/>
        <v>86010</v>
      </c>
      <c r="O11" s="91">
        <f t="shared" si="0"/>
        <v>86010</v>
      </c>
      <c r="P11" s="91">
        <f t="shared" si="0"/>
        <v>86010</v>
      </c>
      <c r="Q11" s="91">
        <f t="shared" si="0"/>
        <v>86010</v>
      </c>
      <c r="R11" s="91">
        <f t="shared" si="0"/>
        <v>86010</v>
      </c>
      <c r="S11" s="91">
        <f t="shared" si="0"/>
        <v>86010</v>
      </c>
      <c r="T11" s="91">
        <f t="shared" si="0"/>
        <v>1042400</v>
      </c>
      <c r="U11" s="91">
        <f t="shared" si="0"/>
        <v>229180</v>
      </c>
    </row>
    <row r="12" spans="1:21" ht="24" thickTop="1">
      <c r="A12" s="105" t="s">
        <v>18</v>
      </c>
      <c r="B12" s="1"/>
      <c r="C12" s="1"/>
      <c r="D12" s="50"/>
      <c r="E12" s="50"/>
      <c r="F12" s="50"/>
      <c r="G12" s="37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139"/>
      <c r="U12" s="139"/>
    </row>
    <row r="13" spans="1:21" ht="23.25">
      <c r="A13" s="105" t="s">
        <v>70</v>
      </c>
      <c r="B13" s="1"/>
      <c r="C13" s="708">
        <f>+D14+D15</f>
        <v>159420</v>
      </c>
      <c r="D13" s="709"/>
      <c r="E13" s="50"/>
      <c r="F13" s="50"/>
      <c r="G13" s="50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135"/>
      <c r="U13" s="135"/>
    </row>
    <row r="14" spans="1:23" ht="23.25">
      <c r="A14" s="144" t="s">
        <v>63</v>
      </c>
      <c r="B14" s="279" t="s">
        <v>139</v>
      </c>
      <c r="C14" s="1"/>
      <c r="D14" s="36">
        <v>138960</v>
      </c>
      <c r="E14" s="36">
        <v>0</v>
      </c>
      <c r="F14" s="36">
        <v>720</v>
      </c>
      <c r="G14" s="52">
        <f>+D14+E14-F14</f>
        <v>138240</v>
      </c>
      <c r="H14" s="52">
        <v>0</v>
      </c>
      <c r="I14" s="52">
        <f>11520*2</f>
        <v>23040</v>
      </c>
      <c r="J14" s="52">
        <v>11520</v>
      </c>
      <c r="K14" s="52">
        <v>11520</v>
      </c>
      <c r="L14" s="52">
        <v>11520</v>
      </c>
      <c r="M14" s="52">
        <v>11520</v>
      </c>
      <c r="N14" s="52">
        <v>11520</v>
      </c>
      <c r="O14" s="52">
        <v>11520</v>
      </c>
      <c r="P14" s="52">
        <v>11520</v>
      </c>
      <c r="Q14" s="52">
        <v>11520</v>
      </c>
      <c r="R14" s="52">
        <v>11520</v>
      </c>
      <c r="S14" s="52">
        <v>11520</v>
      </c>
      <c r="T14" s="52">
        <f>SUM(H14:S14)</f>
        <v>138240</v>
      </c>
      <c r="U14" s="135">
        <f>+G14-T14</f>
        <v>0</v>
      </c>
      <c r="W14" s="278"/>
    </row>
    <row r="15" spans="1:21" ht="23.25">
      <c r="A15" s="144" t="s">
        <v>45</v>
      </c>
      <c r="B15" s="279" t="s">
        <v>140</v>
      </c>
      <c r="C15" s="1"/>
      <c r="D15" s="52">
        <v>20460</v>
      </c>
      <c r="E15" s="52">
        <v>720</v>
      </c>
      <c r="F15" s="52"/>
      <c r="G15" s="52">
        <f>+D15+E15-F15</f>
        <v>21180</v>
      </c>
      <c r="H15" s="52">
        <v>0</v>
      </c>
      <c r="I15" s="52">
        <f>1765*2</f>
        <v>3530</v>
      </c>
      <c r="J15" s="52">
        <v>1765</v>
      </c>
      <c r="K15" s="52">
        <v>1765</v>
      </c>
      <c r="L15" s="52">
        <v>1765</v>
      </c>
      <c r="M15" s="52">
        <v>1765</v>
      </c>
      <c r="N15" s="52">
        <v>1765</v>
      </c>
      <c r="O15" s="52">
        <v>1765</v>
      </c>
      <c r="P15" s="52">
        <v>1765</v>
      </c>
      <c r="Q15" s="52">
        <v>1765</v>
      </c>
      <c r="R15" s="52">
        <v>1765</v>
      </c>
      <c r="S15" s="52">
        <v>1765</v>
      </c>
      <c r="T15" s="52">
        <f>SUM(H15:S15)</f>
        <v>21180</v>
      </c>
      <c r="U15" s="135">
        <f>+G15-T15</f>
        <v>0</v>
      </c>
    </row>
    <row r="16" spans="1:22" ht="24" thickBot="1">
      <c r="A16" s="144"/>
      <c r="B16" s="1"/>
      <c r="C16" s="1"/>
      <c r="D16" s="16" t="s">
        <v>0</v>
      </c>
      <c r="E16" s="50"/>
      <c r="F16" s="50"/>
      <c r="G16" s="158">
        <f>SUM(G14:G15)</f>
        <v>159420</v>
      </c>
      <c r="H16" s="91">
        <f>SUM(H14:H15)</f>
        <v>0</v>
      </c>
      <c r="I16" s="91">
        <f>SUM(I14:I15)</f>
        <v>26570</v>
      </c>
      <c r="J16" s="91">
        <f aca="true" t="shared" si="1" ref="J16:U16">SUM(J14:J15)</f>
        <v>13285</v>
      </c>
      <c r="K16" s="91">
        <f t="shared" si="1"/>
        <v>13285</v>
      </c>
      <c r="L16" s="91">
        <f t="shared" si="1"/>
        <v>13285</v>
      </c>
      <c r="M16" s="91">
        <f t="shared" si="1"/>
        <v>13285</v>
      </c>
      <c r="N16" s="91">
        <f t="shared" si="1"/>
        <v>13285</v>
      </c>
      <c r="O16" s="91">
        <f t="shared" si="1"/>
        <v>13285</v>
      </c>
      <c r="P16" s="91">
        <f t="shared" si="1"/>
        <v>13285</v>
      </c>
      <c r="Q16" s="91">
        <f t="shared" si="1"/>
        <v>13285</v>
      </c>
      <c r="R16" s="91">
        <f t="shared" si="1"/>
        <v>13285</v>
      </c>
      <c r="S16" s="91">
        <f t="shared" si="1"/>
        <v>13285</v>
      </c>
      <c r="T16" s="136">
        <f t="shared" si="1"/>
        <v>159420</v>
      </c>
      <c r="U16" s="136">
        <f t="shared" si="1"/>
        <v>0</v>
      </c>
      <c r="V16" s="278"/>
    </row>
    <row r="17" spans="1:21" ht="24" thickTop="1">
      <c r="A17" s="105" t="s">
        <v>222</v>
      </c>
      <c r="B17" s="1"/>
      <c r="C17" s="708">
        <f>C18+C32+C47</f>
        <v>574000</v>
      </c>
      <c r="D17" s="709"/>
      <c r="E17" s="135"/>
      <c r="F17" s="135"/>
      <c r="G17" s="139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139"/>
      <c r="U17" s="139"/>
    </row>
    <row r="18" spans="1:21" ht="23.25">
      <c r="A18" s="105" t="s">
        <v>246</v>
      </c>
      <c r="B18" s="279" t="s">
        <v>141</v>
      </c>
      <c r="C18" s="704">
        <f>+D19+D20+D21+D22</f>
        <v>216000</v>
      </c>
      <c r="D18" s="705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35"/>
      <c r="U18" s="135"/>
    </row>
    <row r="19" spans="1:22" ht="23.25">
      <c r="A19" s="194" t="s">
        <v>364</v>
      </c>
      <c r="B19" s="279"/>
      <c r="C19" s="1"/>
      <c r="D19" s="36">
        <v>10000</v>
      </c>
      <c r="E19" s="36"/>
      <c r="F19" s="36"/>
      <c r="G19" s="52">
        <f>+D19+E19-F19</f>
        <v>10000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>
        <f>SUM(H19:S19)</f>
        <v>0</v>
      </c>
      <c r="U19" s="135">
        <f>+G19-T19</f>
        <v>10000</v>
      </c>
      <c r="V19" s="278"/>
    </row>
    <row r="20" spans="1:23" ht="23.25">
      <c r="A20" s="194" t="s">
        <v>361</v>
      </c>
      <c r="B20" s="279" t="s">
        <v>144</v>
      </c>
      <c r="C20" s="1"/>
      <c r="D20" s="36">
        <v>10000</v>
      </c>
      <c r="E20" s="36"/>
      <c r="F20" s="36"/>
      <c r="G20" s="52">
        <f>+D20+E20-F20</f>
        <v>10000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f>SUM(H20:S20)</f>
        <v>0</v>
      </c>
      <c r="U20" s="135">
        <f>+G20-T20</f>
        <v>10000</v>
      </c>
      <c r="V20" s="278"/>
      <c r="W20" s="278"/>
    </row>
    <row r="21" spans="1:21" ht="23.25">
      <c r="A21" s="194" t="s">
        <v>362</v>
      </c>
      <c r="B21" s="279" t="s">
        <v>145</v>
      </c>
      <c r="C21" s="192"/>
      <c r="D21" s="36">
        <v>156000</v>
      </c>
      <c r="E21" s="36"/>
      <c r="F21" s="36"/>
      <c r="G21" s="52">
        <f>+D21+E21-F21</f>
        <v>156000</v>
      </c>
      <c r="H21" s="52">
        <v>0</v>
      </c>
      <c r="I21" s="52">
        <f>3500+3500+3000+2500</f>
        <v>12500</v>
      </c>
      <c r="J21" s="52">
        <f>3500+3500+3000</f>
        <v>10000</v>
      </c>
      <c r="K21" s="52">
        <f>3500+3500+3000</f>
        <v>10000</v>
      </c>
      <c r="L21" s="52">
        <v>10000</v>
      </c>
      <c r="M21" s="52">
        <v>10000</v>
      </c>
      <c r="N21" s="52">
        <v>10000</v>
      </c>
      <c r="O21" s="52">
        <v>10000</v>
      </c>
      <c r="P21" s="52">
        <v>10000</v>
      </c>
      <c r="Q21" s="52">
        <v>10000</v>
      </c>
      <c r="R21" s="52">
        <v>10000</v>
      </c>
      <c r="S21" s="52">
        <v>20000</v>
      </c>
      <c r="T21" s="52">
        <f>SUM(H21:S21)</f>
        <v>122500</v>
      </c>
      <c r="U21" s="135">
        <f>+G21-T21</f>
        <v>33500</v>
      </c>
    </row>
    <row r="22" spans="1:21" ht="23.25">
      <c r="A22" s="160" t="s">
        <v>363</v>
      </c>
      <c r="B22" s="279" t="s">
        <v>146</v>
      </c>
      <c r="C22" s="156"/>
      <c r="D22" s="36">
        <v>40000</v>
      </c>
      <c r="E22" s="36"/>
      <c r="F22" s="36"/>
      <c r="G22" s="52">
        <f>+D22+E22-F22</f>
        <v>40000</v>
      </c>
      <c r="H22" s="52">
        <v>0</v>
      </c>
      <c r="I22" s="52">
        <v>0</v>
      </c>
      <c r="J22" s="52">
        <v>300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7800</v>
      </c>
      <c r="R22" s="52">
        <v>0</v>
      </c>
      <c r="S22" s="52">
        <v>0</v>
      </c>
      <c r="T22" s="52">
        <f>SUM(H22:S22)</f>
        <v>8100</v>
      </c>
      <c r="U22" s="135">
        <f>+G22-T22</f>
        <v>31900</v>
      </c>
    </row>
    <row r="23" spans="1:22" ht="23.25">
      <c r="A23" s="105"/>
      <c r="B23" s="279"/>
      <c r="C23" s="156"/>
      <c r="D23" s="36"/>
      <c r="E23" s="36"/>
      <c r="F23" s="36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38"/>
      <c r="U23" s="138"/>
      <c r="V23" s="278"/>
    </row>
    <row r="24" spans="1:21" ht="23.25">
      <c r="A24" s="105"/>
      <c r="B24" s="279"/>
      <c r="C24" s="156"/>
      <c r="D24" s="36"/>
      <c r="E24" s="36"/>
      <c r="F24" s="36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138"/>
      <c r="U24" s="138"/>
    </row>
    <row r="25" spans="1:21" ht="23.25">
      <c r="A25" s="105"/>
      <c r="B25" s="279"/>
      <c r="C25" s="156"/>
      <c r="D25" s="36"/>
      <c r="E25" s="36"/>
      <c r="F25" s="36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138"/>
      <c r="U25" s="138"/>
    </row>
    <row r="26" spans="1:21" ht="23.25">
      <c r="A26" s="105"/>
      <c r="B26" s="279"/>
      <c r="C26" s="156"/>
      <c r="D26" s="36"/>
      <c r="E26" s="36"/>
      <c r="F26" s="36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138"/>
      <c r="U26" s="138"/>
    </row>
    <row r="27" spans="1:22" ht="24" thickBot="1">
      <c r="A27" s="105"/>
      <c r="B27" s="1"/>
      <c r="C27" s="1"/>
      <c r="D27" s="16" t="s">
        <v>0</v>
      </c>
      <c r="E27" s="50"/>
      <c r="F27" s="50"/>
      <c r="G27" s="158">
        <f>SUM(G19:G22)</f>
        <v>216000</v>
      </c>
      <c r="H27" s="91">
        <f>SUM(H19:H22)</f>
        <v>0</v>
      </c>
      <c r="I27" s="91">
        <f aca="true" t="shared" si="2" ref="I27:U27">SUM(I19:I22)</f>
        <v>12500</v>
      </c>
      <c r="J27" s="91">
        <f t="shared" si="2"/>
        <v>10300</v>
      </c>
      <c r="K27" s="91">
        <f t="shared" si="2"/>
        <v>10000</v>
      </c>
      <c r="L27" s="91">
        <f t="shared" si="2"/>
        <v>10000</v>
      </c>
      <c r="M27" s="91">
        <f t="shared" si="2"/>
        <v>10000</v>
      </c>
      <c r="N27" s="91">
        <f t="shared" si="2"/>
        <v>10000</v>
      </c>
      <c r="O27" s="91">
        <f t="shared" si="2"/>
        <v>10000</v>
      </c>
      <c r="P27" s="91">
        <f t="shared" si="2"/>
        <v>10000</v>
      </c>
      <c r="Q27" s="91">
        <f t="shared" si="2"/>
        <v>17800</v>
      </c>
      <c r="R27" s="91">
        <f t="shared" si="2"/>
        <v>10000</v>
      </c>
      <c r="S27" s="91">
        <f t="shared" si="2"/>
        <v>20000</v>
      </c>
      <c r="T27" s="136">
        <f t="shared" si="2"/>
        <v>130600</v>
      </c>
      <c r="U27" s="136">
        <f t="shared" si="2"/>
        <v>85400</v>
      </c>
      <c r="V27" s="278"/>
    </row>
    <row r="28" spans="1:21" ht="24" thickTop="1">
      <c r="A28" s="720" t="s">
        <v>20</v>
      </c>
      <c r="B28" s="720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0"/>
      <c r="R28" s="720"/>
      <c r="S28" s="720"/>
      <c r="T28" s="720"/>
      <c r="U28" s="720"/>
    </row>
    <row r="29" spans="1:21" ht="23.25">
      <c r="A29" s="658" t="s">
        <v>489</v>
      </c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</row>
    <row r="30" spans="1:21" ht="23.25">
      <c r="A30" s="721" t="s">
        <v>4</v>
      </c>
      <c r="B30" s="219"/>
      <c r="C30" s="719" t="s">
        <v>51</v>
      </c>
      <c r="D30" s="719"/>
      <c r="E30" s="130" t="s">
        <v>9</v>
      </c>
      <c r="F30" s="231" t="s">
        <v>9</v>
      </c>
      <c r="G30" s="231" t="s">
        <v>25</v>
      </c>
      <c r="H30" s="231" t="s">
        <v>26</v>
      </c>
      <c r="I30" s="130" t="s">
        <v>27</v>
      </c>
      <c r="J30" s="130" t="s">
        <v>28</v>
      </c>
      <c r="K30" s="131" t="s">
        <v>29</v>
      </c>
      <c r="L30" s="130" t="s">
        <v>30</v>
      </c>
      <c r="M30" s="131" t="s">
        <v>31</v>
      </c>
      <c r="N30" s="130" t="s">
        <v>32</v>
      </c>
      <c r="O30" s="131" t="s">
        <v>33</v>
      </c>
      <c r="P30" s="130" t="s">
        <v>34</v>
      </c>
      <c r="Q30" s="131" t="s">
        <v>35</v>
      </c>
      <c r="R30" s="130" t="s">
        <v>36</v>
      </c>
      <c r="S30" s="232" t="s">
        <v>37</v>
      </c>
      <c r="T30" s="232" t="s">
        <v>25</v>
      </c>
      <c r="U30" s="130" t="s">
        <v>6</v>
      </c>
    </row>
    <row r="31" spans="1:21" ht="23.25">
      <c r="A31" s="673"/>
      <c r="B31" s="8" t="s">
        <v>8</v>
      </c>
      <c r="C31" s="21" t="s">
        <v>50</v>
      </c>
      <c r="D31" s="140" t="s">
        <v>52</v>
      </c>
      <c r="E31" s="9" t="s">
        <v>10</v>
      </c>
      <c r="F31" s="134" t="s">
        <v>11</v>
      </c>
      <c r="G31" s="134"/>
      <c r="H31" s="233"/>
      <c r="I31" s="148"/>
      <c r="J31" s="148"/>
      <c r="K31" s="207"/>
      <c r="L31" s="148"/>
      <c r="M31" s="207"/>
      <c r="N31" s="148"/>
      <c r="O31" s="207"/>
      <c r="P31" s="148"/>
      <c r="Q31" s="207"/>
      <c r="R31" s="148"/>
      <c r="S31" s="149"/>
      <c r="T31" s="234"/>
      <c r="U31" s="9" t="s">
        <v>5</v>
      </c>
    </row>
    <row r="32" spans="1:21" ht="23.25">
      <c r="A32" s="105" t="s">
        <v>247</v>
      </c>
      <c r="B32" s="279" t="s">
        <v>148</v>
      </c>
      <c r="C32" s="704">
        <f>D33+D38+D43</f>
        <v>298000</v>
      </c>
      <c r="D32" s="705"/>
      <c r="E32" s="16"/>
      <c r="F32" s="16"/>
      <c r="G32" s="14"/>
      <c r="H32" s="148"/>
      <c r="I32" s="148"/>
      <c r="J32" s="148"/>
      <c r="K32" s="148"/>
      <c r="L32" s="148"/>
      <c r="M32" s="47"/>
      <c r="N32" s="47"/>
      <c r="O32" s="148"/>
      <c r="P32" s="148"/>
      <c r="Q32" s="148"/>
      <c r="R32" s="148"/>
      <c r="S32" s="148"/>
      <c r="T32" s="48"/>
      <c r="U32" s="48"/>
    </row>
    <row r="33" spans="1:21" ht="23.25">
      <c r="A33" s="160" t="s">
        <v>252</v>
      </c>
      <c r="B33" s="279" t="s">
        <v>149</v>
      </c>
      <c r="C33" s="1"/>
      <c r="D33" s="241">
        <f>G34+G35+G36</f>
        <v>148000</v>
      </c>
      <c r="E33" s="143"/>
      <c r="F33" s="143"/>
      <c r="G33" s="143"/>
      <c r="H33" s="144"/>
      <c r="I33" s="144"/>
      <c r="J33" s="144"/>
      <c r="K33" s="144"/>
      <c r="L33" s="144"/>
      <c r="M33" s="22"/>
      <c r="N33" s="144"/>
      <c r="O33" s="144"/>
      <c r="P33" s="144"/>
      <c r="Q33" s="144"/>
      <c r="R33" s="144"/>
      <c r="S33" s="144"/>
      <c r="T33" s="48"/>
      <c r="U33" s="9"/>
    </row>
    <row r="34" spans="1:22" ht="23.25">
      <c r="A34" s="144" t="s">
        <v>16</v>
      </c>
      <c r="B34" s="684"/>
      <c r="C34" s="685"/>
      <c r="D34" s="36">
        <v>30000</v>
      </c>
      <c r="E34" s="36">
        <f>7000+50000+40000</f>
        <v>97000</v>
      </c>
      <c r="F34" s="36">
        <v>0</v>
      </c>
      <c r="G34" s="52">
        <f>+D34+E34-F34</f>
        <v>127000</v>
      </c>
      <c r="H34" s="52">
        <f>7800+12000</f>
        <v>19800</v>
      </c>
      <c r="I34" s="52">
        <v>3800</v>
      </c>
      <c r="J34" s="52">
        <v>0</v>
      </c>
      <c r="K34" s="52">
        <f>500</f>
        <v>500</v>
      </c>
      <c r="L34" s="52">
        <f>3900+9000</f>
        <v>12900</v>
      </c>
      <c r="M34" s="52">
        <v>34000</v>
      </c>
      <c r="N34" s="52">
        <v>3900</v>
      </c>
      <c r="O34" s="52">
        <v>34000</v>
      </c>
      <c r="P34" s="52">
        <v>0</v>
      </c>
      <c r="Q34" s="52">
        <v>0</v>
      </c>
      <c r="R34" s="52">
        <v>7900</v>
      </c>
      <c r="S34" s="52">
        <v>0</v>
      </c>
      <c r="T34" s="52">
        <f>SUM(H34:S34)</f>
        <v>116800</v>
      </c>
      <c r="U34" s="135">
        <f>+G34-T34</f>
        <v>10200</v>
      </c>
      <c r="V34" s="278"/>
    </row>
    <row r="35" spans="1:22" ht="23.25">
      <c r="A35" s="144" t="s">
        <v>101</v>
      </c>
      <c r="B35" s="117"/>
      <c r="C35" s="193"/>
      <c r="D35" s="36">
        <v>10000</v>
      </c>
      <c r="E35" s="36"/>
      <c r="F35" s="36">
        <v>7000</v>
      </c>
      <c r="G35" s="52">
        <f>+D35+E35-F35</f>
        <v>3000</v>
      </c>
      <c r="H35" s="52">
        <v>0</v>
      </c>
      <c r="I35" s="52">
        <v>800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f>SUM(H35:S35)</f>
        <v>800</v>
      </c>
      <c r="U35" s="135">
        <f>+G35-T35</f>
        <v>2200</v>
      </c>
      <c r="V35" s="278"/>
    </row>
    <row r="36" spans="1:22" ht="23.25">
      <c r="A36" s="144" t="s">
        <v>317</v>
      </c>
      <c r="B36" s="117"/>
      <c r="C36" s="193"/>
      <c r="D36" s="36">
        <v>18000</v>
      </c>
      <c r="E36" s="36">
        <v>0</v>
      </c>
      <c r="F36" s="36"/>
      <c r="G36" s="52">
        <f>+D36+E36-F36</f>
        <v>18000</v>
      </c>
      <c r="H36" s="52">
        <v>0</v>
      </c>
      <c r="I36" s="52">
        <v>0</v>
      </c>
      <c r="J36" s="52">
        <v>1500</v>
      </c>
      <c r="K36" s="52">
        <v>1500</v>
      </c>
      <c r="L36" s="52">
        <v>1500</v>
      </c>
      <c r="M36" s="52">
        <v>1500</v>
      </c>
      <c r="N36" s="52">
        <v>1500</v>
      </c>
      <c r="O36" s="52">
        <v>1500</v>
      </c>
      <c r="P36" s="52">
        <v>1500</v>
      </c>
      <c r="Q36" s="52">
        <v>1500</v>
      </c>
      <c r="R36" s="52">
        <v>1500</v>
      </c>
      <c r="S36" s="52">
        <f>1500+3000</f>
        <v>4500</v>
      </c>
      <c r="T36" s="52">
        <f>SUM(H36:S36)</f>
        <v>18000</v>
      </c>
      <c r="U36" s="135">
        <f>+G36-T36</f>
        <v>0</v>
      </c>
      <c r="V36" s="278"/>
    </row>
    <row r="37" spans="1:22" ht="24" thickBot="1">
      <c r="A37" s="144"/>
      <c r="B37" s="117"/>
      <c r="C37" s="193"/>
      <c r="D37" s="36" t="s">
        <v>0</v>
      </c>
      <c r="E37" s="36"/>
      <c r="F37" s="36"/>
      <c r="G37" s="187">
        <f>G34+G35+G36</f>
        <v>148000</v>
      </c>
      <c r="H37" s="187">
        <f aca="true" t="shared" si="3" ref="H37:U37">H34+H35+H36</f>
        <v>19800</v>
      </c>
      <c r="I37" s="187">
        <f t="shared" si="3"/>
        <v>4600</v>
      </c>
      <c r="J37" s="187">
        <f t="shared" si="3"/>
        <v>1500</v>
      </c>
      <c r="K37" s="187">
        <f t="shared" si="3"/>
        <v>2000</v>
      </c>
      <c r="L37" s="187">
        <f t="shared" si="3"/>
        <v>14400</v>
      </c>
      <c r="M37" s="187">
        <f t="shared" si="3"/>
        <v>35500</v>
      </c>
      <c r="N37" s="187">
        <f t="shared" si="3"/>
        <v>5400</v>
      </c>
      <c r="O37" s="187">
        <f t="shared" si="3"/>
        <v>35500</v>
      </c>
      <c r="P37" s="187">
        <f t="shared" si="3"/>
        <v>1500</v>
      </c>
      <c r="Q37" s="187">
        <f t="shared" si="3"/>
        <v>1500</v>
      </c>
      <c r="R37" s="187">
        <f t="shared" si="3"/>
        <v>9400</v>
      </c>
      <c r="S37" s="187">
        <f t="shared" si="3"/>
        <v>4500</v>
      </c>
      <c r="T37" s="187">
        <f t="shared" si="3"/>
        <v>135600</v>
      </c>
      <c r="U37" s="187">
        <f t="shared" si="3"/>
        <v>12400</v>
      </c>
      <c r="V37" s="278"/>
    </row>
    <row r="38" spans="1:23" ht="24" thickTop="1">
      <c r="A38" s="160" t="s">
        <v>253</v>
      </c>
      <c r="B38" s="279" t="s">
        <v>155</v>
      </c>
      <c r="C38" s="1"/>
      <c r="D38" s="36">
        <f>D39+D40+D41</f>
        <v>130000</v>
      </c>
      <c r="E38" s="36"/>
      <c r="F38" s="36"/>
      <c r="G38" s="36"/>
      <c r="H38" s="144"/>
      <c r="I38" s="144"/>
      <c r="J38" s="52"/>
      <c r="K38" s="52"/>
      <c r="L38" s="52"/>
      <c r="M38" s="52"/>
      <c r="N38" s="52"/>
      <c r="O38" s="52"/>
      <c r="P38" s="52"/>
      <c r="Q38" s="52"/>
      <c r="R38" s="144"/>
      <c r="S38" s="144"/>
      <c r="T38" s="37"/>
      <c r="U38" s="37"/>
      <c r="V38" s="278"/>
      <c r="W38" s="278"/>
    </row>
    <row r="39" spans="1:21" ht="23.25">
      <c r="A39" s="144" t="s">
        <v>55</v>
      </c>
      <c r="B39" s="1"/>
      <c r="C39" s="1"/>
      <c r="D39" s="36">
        <v>30000</v>
      </c>
      <c r="E39" s="143"/>
      <c r="F39" s="143"/>
      <c r="G39" s="52">
        <f>+D39+E39-F39</f>
        <v>30000</v>
      </c>
      <c r="H39" s="52">
        <v>0</v>
      </c>
      <c r="I39" s="52">
        <v>0</v>
      </c>
      <c r="J39" s="52">
        <f>1142+992</f>
        <v>2134</v>
      </c>
      <c r="K39" s="52">
        <v>0</v>
      </c>
      <c r="L39" s="52">
        <v>0</v>
      </c>
      <c r="M39" s="52">
        <v>6204</v>
      </c>
      <c r="N39" s="52">
        <v>1872</v>
      </c>
      <c r="O39" s="52">
        <v>0</v>
      </c>
      <c r="P39" s="52">
        <f>1702+2288</f>
        <v>3990</v>
      </c>
      <c r="Q39" s="52">
        <v>0</v>
      </c>
      <c r="R39" s="52">
        <v>864</v>
      </c>
      <c r="S39" s="52">
        <v>1386</v>
      </c>
      <c r="T39" s="52">
        <f>SUM(H39:S39)</f>
        <v>16450</v>
      </c>
      <c r="U39" s="135">
        <f>+G39-T39</f>
        <v>13550</v>
      </c>
    </row>
    <row r="40" spans="1:21" ht="23.25">
      <c r="A40" s="144" t="s">
        <v>195</v>
      </c>
      <c r="B40" s="1"/>
      <c r="C40" s="1"/>
      <c r="D40" s="36">
        <v>100000</v>
      </c>
      <c r="E40" s="301"/>
      <c r="F40" s="301"/>
      <c r="G40" s="52">
        <f>+D40+E40-F40</f>
        <v>100000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f>SUM(H40:S40)</f>
        <v>0</v>
      </c>
      <c r="U40" s="135">
        <f>+G40-T40</f>
        <v>100000</v>
      </c>
    </row>
    <row r="41" spans="1:21" ht="23.25">
      <c r="A41" s="144" t="s">
        <v>299</v>
      </c>
      <c r="B41" s="1"/>
      <c r="C41" s="1"/>
      <c r="D41" s="36"/>
      <c r="E41" s="301"/>
      <c r="F41" s="301"/>
      <c r="G41" s="52">
        <f>+D41+E41-F41</f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f>SUM(H41:S41)</f>
        <v>0</v>
      </c>
      <c r="U41" s="135">
        <f>+G41-T41</f>
        <v>0</v>
      </c>
    </row>
    <row r="42" spans="1:21" ht="24" thickBot="1">
      <c r="A42" s="144"/>
      <c r="B42" s="1"/>
      <c r="C42" s="1"/>
      <c r="D42" s="16" t="s">
        <v>0</v>
      </c>
      <c r="E42" s="16"/>
      <c r="F42" s="16"/>
      <c r="G42" s="242">
        <f>SUM(G39:G41)</f>
        <v>130000</v>
      </c>
      <c r="H42" s="242">
        <f aca="true" t="shared" si="4" ref="H42:U42">SUM(H39:H41)</f>
        <v>0</v>
      </c>
      <c r="I42" s="242">
        <f t="shared" si="4"/>
        <v>0</v>
      </c>
      <c r="J42" s="242">
        <f t="shared" si="4"/>
        <v>2134</v>
      </c>
      <c r="K42" s="242">
        <f t="shared" si="4"/>
        <v>0</v>
      </c>
      <c r="L42" s="242">
        <f t="shared" si="4"/>
        <v>0</v>
      </c>
      <c r="M42" s="242">
        <f t="shared" si="4"/>
        <v>6204</v>
      </c>
      <c r="N42" s="242">
        <f t="shared" si="4"/>
        <v>1872</v>
      </c>
      <c r="O42" s="242">
        <f t="shared" si="4"/>
        <v>0</v>
      </c>
      <c r="P42" s="242">
        <f t="shared" si="4"/>
        <v>3990</v>
      </c>
      <c r="Q42" s="242">
        <f t="shared" si="4"/>
        <v>0</v>
      </c>
      <c r="R42" s="242">
        <f t="shared" si="4"/>
        <v>864</v>
      </c>
      <c r="S42" s="242">
        <f t="shared" si="4"/>
        <v>1386</v>
      </c>
      <c r="T42" s="242">
        <f t="shared" si="4"/>
        <v>16450</v>
      </c>
      <c r="U42" s="242">
        <f t="shared" si="4"/>
        <v>113550</v>
      </c>
    </row>
    <row r="43" spans="1:21" ht="24" thickTop="1">
      <c r="A43" s="17" t="s">
        <v>248</v>
      </c>
      <c r="B43" s="279" t="s">
        <v>160</v>
      </c>
      <c r="C43" s="1"/>
      <c r="D43" s="282">
        <f>D44</f>
        <v>20000</v>
      </c>
      <c r="E43" s="16"/>
      <c r="F43" s="16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</row>
    <row r="44" spans="1:21" ht="23.25">
      <c r="A44" s="10" t="s">
        <v>161</v>
      </c>
      <c r="B44" s="18"/>
      <c r="C44" s="1"/>
      <c r="D44" s="36">
        <v>20000</v>
      </c>
      <c r="E44" s="143"/>
      <c r="F44" s="143"/>
      <c r="G44" s="52">
        <f>+D44+E44-F44</f>
        <v>20000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960</v>
      </c>
      <c r="S44" s="52">
        <v>600</v>
      </c>
      <c r="T44" s="52">
        <f>SUM(H44:S44)</f>
        <v>1560</v>
      </c>
      <c r="U44" s="135">
        <f>+G44-T44</f>
        <v>18440</v>
      </c>
    </row>
    <row r="45" spans="1:21" ht="24" thickBot="1">
      <c r="A45" s="144"/>
      <c r="B45" s="1"/>
      <c r="C45" s="1"/>
      <c r="D45" s="16" t="s">
        <v>0</v>
      </c>
      <c r="E45" s="16"/>
      <c r="F45" s="16"/>
      <c r="G45" s="242">
        <f>G44</f>
        <v>20000</v>
      </c>
      <c r="H45" s="242">
        <f aca="true" t="shared" si="5" ref="H45:U45">H44</f>
        <v>0</v>
      </c>
      <c r="I45" s="242">
        <f t="shared" si="5"/>
        <v>0</v>
      </c>
      <c r="J45" s="242">
        <f t="shared" si="5"/>
        <v>0</v>
      </c>
      <c r="K45" s="242">
        <f t="shared" si="5"/>
        <v>0</v>
      </c>
      <c r="L45" s="242">
        <f t="shared" si="5"/>
        <v>0</v>
      </c>
      <c r="M45" s="242">
        <f t="shared" si="5"/>
        <v>0</v>
      </c>
      <c r="N45" s="242">
        <f t="shared" si="5"/>
        <v>0</v>
      </c>
      <c r="O45" s="242">
        <f t="shared" si="5"/>
        <v>0</v>
      </c>
      <c r="P45" s="242">
        <f t="shared" si="5"/>
        <v>0</v>
      </c>
      <c r="Q45" s="242">
        <f t="shared" si="5"/>
        <v>0</v>
      </c>
      <c r="R45" s="242">
        <f t="shared" si="5"/>
        <v>960</v>
      </c>
      <c r="S45" s="242">
        <f t="shared" si="5"/>
        <v>600</v>
      </c>
      <c r="T45" s="242">
        <f t="shared" si="5"/>
        <v>1560</v>
      </c>
      <c r="U45" s="242">
        <f t="shared" si="5"/>
        <v>18440</v>
      </c>
    </row>
    <row r="46" spans="1:21" ht="24.75" thickBot="1" thickTop="1">
      <c r="A46" s="144"/>
      <c r="B46" s="1"/>
      <c r="C46" s="1"/>
      <c r="D46" s="16" t="s">
        <v>7</v>
      </c>
      <c r="E46" s="16"/>
      <c r="F46" s="16"/>
      <c r="G46" s="242">
        <f aca="true" t="shared" si="6" ref="G46:U46">G37+G42+G45</f>
        <v>298000</v>
      </c>
      <c r="H46" s="242">
        <f t="shared" si="6"/>
        <v>19800</v>
      </c>
      <c r="I46" s="242">
        <f t="shared" si="6"/>
        <v>4600</v>
      </c>
      <c r="J46" s="242">
        <f t="shared" si="6"/>
        <v>3634</v>
      </c>
      <c r="K46" s="242">
        <f t="shared" si="6"/>
        <v>2000</v>
      </c>
      <c r="L46" s="242">
        <f t="shared" si="6"/>
        <v>14400</v>
      </c>
      <c r="M46" s="242">
        <f t="shared" si="6"/>
        <v>41704</v>
      </c>
      <c r="N46" s="242">
        <f t="shared" si="6"/>
        <v>7272</v>
      </c>
      <c r="O46" s="242">
        <f t="shared" si="6"/>
        <v>35500</v>
      </c>
      <c r="P46" s="242">
        <f t="shared" si="6"/>
        <v>5490</v>
      </c>
      <c r="Q46" s="242">
        <f t="shared" si="6"/>
        <v>1500</v>
      </c>
      <c r="R46" s="242">
        <f t="shared" si="6"/>
        <v>11224</v>
      </c>
      <c r="S46" s="242">
        <f t="shared" si="6"/>
        <v>6486</v>
      </c>
      <c r="T46" s="242">
        <f t="shared" si="6"/>
        <v>153610</v>
      </c>
      <c r="U46" s="242">
        <f t="shared" si="6"/>
        <v>144390</v>
      </c>
    </row>
    <row r="47" spans="1:21" ht="24" thickTop="1">
      <c r="A47" s="105" t="s">
        <v>249</v>
      </c>
      <c r="B47" s="279" t="s">
        <v>162</v>
      </c>
      <c r="C47" s="704">
        <f>+D48+D49</f>
        <v>60000</v>
      </c>
      <c r="D47" s="705"/>
      <c r="E47" s="16"/>
      <c r="F47" s="16"/>
      <c r="G47" s="14"/>
      <c r="H47" s="148"/>
      <c r="I47" s="148"/>
      <c r="J47" s="148"/>
      <c r="K47" s="148"/>
      <c r="L47" s="148"/>
      <c r="M47" s="90"/>
      <c r="N47" s="90"/>
      <c r="O47" s="90"/>
      <c r="P47" s="90"/>
      <c r="Q47" s="90"/>
      <c r="R47" s="148"/>
      <c r="S47" s="148"/>
      <c r="T47" s="37"/>
      <c r="U47" s="139"/>
    </row>
    <row r="48" spans="1:21" ht="23.25">
      <c r="A48" s="105" t="s">
        <v>250</v>
      </c>
      <c r="B48" s="279" t="s">
        <v>163</v>
      </c>
      <c r="C48" s="1"/>
      <c r="D48" s="36">
        <v>30000</v>
      </c>
      <c r="E48" s="36">
        <v>0</v>
      </c>
      <c r="F48" s="36"/>
      <c r="G48" s="52">
        <f>+D48+E48-F48</f>
        <v>30000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10176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5390</v>
      </c>
      <c r="T48" s="52">
        <f>SUM(H48:S48)</f>
        <v>15566</v>
      </c>
      <c r="U48" s="135">
        <f>+G48-T48</f>
        <v>14434</v>
      </c>
    </row>
    <row r="49" spans="1:21" ht="23.25">
      <c r="A49" s="160" t="s">
        <v>254</v>
      </c>
      <c r="B49" s="279" t="s">
        <v>168</v>
      </c>
      <c r="C49" s="1"/>
      <c r="D49" s="36">
        <v>30000</v>
      </c>
      <c r="E49" s="36">
        <v>0</v>
      </c>
      <c r="F49" s="36"/>
      <c r="G49" s="52">
        <f>+D49+E49-F49</f>
        <v>30000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21880</v>
      </c>
      <c r="O49" s="52">
        <v>0</v>
      </c>
      <c r="P49" s="52">
        <v>0</v>
      </c>
      <c r="Q49" s="52">
        <v>0</v>
      </c>
      <c r="R49" s="52">
        <v>0</v>
      </c>
      <c r="S49" s="52">
        <v>7200</v>
      </c>
      <c r="T49" s="52">
        <f>SUM(H49:S49)</f>
        <v>29080</v>
      </c>
      <c r="U49" s="135">
        <f>+G49-T49</f>
        <v>920</v>
      </c>
    </row>
    <row r="50" spans="1:21" ht="24" thickBot="1">
      <c r="A50" s="144" t="s">
        <v>74</v>
      </c>
      <c r="B50" s="1"/>
      <c r="C50" s="1"/>
      <c r="D50" s="36"/>
      <c r="E50" s="36"/>
      <c r="F50" s="36"/>
      <c r="G50" s="204"/>
      <c r="H50" s="191"/>
      <c r="I50" s="191"/>
      <c r="J50" s="191"/>
      <c r="K50" s="191"/>
      <c r="L50" s="191"/>
      <c r="M50" s="89"/>
      <c r="N50" s="89"/>
      <c r="O50" s="89"/>
      <c r="P50" s="89"/>
      <c r="Q50" s="89"/>
      <c r="R50" s="191"/>
      <c r="S50" s="191"/>
      <c r="T50" s="154"/>
      <c r="U50" s="138"/>
    </row>
    <row r="51" spans="1:21" ht="24.75" thickBot="1" thickTop="1">
      <c r="A51" s="105"/>
      <c r="B51" s="1"/>
      <c r="C51" s="1"/>
      <c r="E51" s="36"/>
      <c r="F51" s="36"/>
      <c r="G51" s="280">
        <f>SUM(G48:G50)</f>
        <v>60000</v>
      </c>
      <c r="H51" s="280">
        <f aca="true" t="shared" si="7" ref="H51:U51">SUM(H48:H50)</f>
        <v>0</v>
      </c>
      <c r="I51" s="280">
        <f t="shared" si="7"/>
        <v>0</v>
      </c>
      <c r="J51" s="280">
        <f t="shared" si="7"/>
        <v>0</v>
      </c>
      <c r="K51" s="280">
        <f t="shared" si="7"/>
        <v>0</v>
      </c>
      <c r="L51" s="280">
        <f t="shared" si="7"/>
        <v>0</v>
      </c>
      <c r="M51" s="280">
        <f t="shared" si="7"/>
        <v>10176</v>
      </c>
      <c r="N51" s="280">
        <f t="shared" si="7"/>
        <v>21880</v>
      </c>
      <c r="O51" s="280">
        <f t="shared" si="7"/>
        <v>0</v>
      </c>
      <c r="P51" s="280">
        <f t="shared" si="7"/>
        <v>0</v>
      </c>
      <c r="Q51" s="280">
        <f t="shared" si="7"/>
        <v>0</v>
      </c>
      <c r="R51" s="280">
        <f t="shared" si="7"/>
        <v>0</v>
      </c>
      <c r="S51" s="280">
        <f t="shared" si="7"/>
        <v>12590</v>
      </c>
      <c r="T51" s="281">
        <f t="shared" si="7"/>
        <v>44646</v>
      </c>
      <c r="U51" s="281">
        <f t="shared" si="7"/>
        <v>15354</v>
      </c>
    </row>
    <row r="52" spans="1:21" ht="24" thickTop="1">
      <c r="A52" s="17" t="s">
        <v>240</v>
      </c>
      <c r="B52" s="34"/>
      <c r="C52" s="41"/>
      <c r="D52" s="23"/>
      <c r="E52" s="36"/>
      <c r="F52" s="36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37"/>
      <c r="U52" s="37"/>
    </row>
    <row r="53" spans="1:21" ht="23.25">
      <c r="A53" s="10" t="s">
        <v>365</v>
      </c>
      <c r="B53" s="18"/>
      <c r="C53" s="41"/>
      <c r="D53" s="36">
        <v>0</v>
      </c>
      <c r="E53" s="36"/>
      <c r="F53" s="36"/>
      <c r="G53" s="52">
        <f>+D53+E53-F53</f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f>SUM(H53:S53)</f>
        <v>0</v>
      </c>
      <c r="U53" s="135">
        <f>+G53-T53</f>
        <v>0</v>
      </c>
    </row>
    <row r="54" spans="1:21" ht="23.25">
      <c r="A54" s="17" t="s">
        <v>412</v>
      </c>
      <c r="B54" s="34"/>
      <c r="C54" s="41"/>
      <c r="D54" s="23"/>
      <c r="E54" s="36"/>
      <c r="F54" s="36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37"/>
      <c r="U54" s="37"/>
    </row>
    <row r="55" spans="1:21" s="460" customFormat="1" ht="24" thickBot="1">
      <c r="A55" s="449" t="s">
        <v>424</v>
      </c>
      <c r="B55" s="450"/>
      <c r="C55" s="457"/>
      <c r="D55" s="458">
        <v>30000</v>
      </c>
      <c r="E55" s="458">
        <v>0</v>
      </c>
      <c r="F55" s="458"/>
      <c r="G55" s="459">
        <f>+D55+E55-F55</f>
        <v>30000</v>
      </c>
      <c r="H55" s="459">
        <v>0</v>
      </c>
      <c r="I55" s="459">
        <v>0</v>
      </c>
      <c r="J55" s="459">
        <v>0</v>
      </c>
      <c r="K55" s="459">
        <v>0</v>
      </c>
      <c r="L55" s="459">
        <v>0</v>
      </c>
      <c r="M55" s="459">
        <v>0</v>
      </c>
      <c r="N55" s="459">
        <v>0</v>
      </c>
      <c r="O55" s="459">
        <v>0</v>
      </c>
      <c r="P55" s="459">
        <v>0</v>
      </c>
      <c r="Q55" s="459">
        <v>0</v>
      </c>
      <c r="R55" s="459">
        <v>0</v>
      </c>
      <c r="S55" s="459">
        <v>0</v>
      </c>
      <c r="T55" s="459">
        <f>SUM(H55:S55)</f>
        <v>0</v>
      </c>
      <c r="U55" s="447">
        <f>+G55-T55</f>
        <v>30000</v>
      </c>
    </row>
    <row r="56" spans="1:21" ht="24.75" thickBot="1" thickTop="1">
      <c r="A56" s="17"/>
      <c r="B56" s="279"/>
      <c r="C56" s="41"/>
      <c r="D56" s="16" t="s">
        <v>0</v>
      </c>
      <c r="E56" s="36"/>
      <c r="F56" s="36"/>
      <c r="G56" s="280">
        <f>G53+G55</f>
        <v>30000</v>
      </c>
      <c r="H56" s="280">
        <f aca="true" t="shared" si="8" ref="H56:U56">H53+H55</f>
        <v>0</v>
      </c>
      <c r="I56" s="280">
        <f t="shared" si="8"/>
        <v>0</v>
      </c>
      <c r="J56" s="280">
        <f t="shared" si="8"/>
        <v>0</v>
      </c>
      <c r="K56" s="280">
        <f t="shared" si="8"/>
        <v>0</v>
      </c>
      <c r="L56" s="280">
        <f t="shared" si="8"/>
        <v>0</v>
      </c>
      <c r="M56" s="280">
        <f t="shared" si="8"/>
        <v>0</v>
      </c>
      <c r="N56" s="280">
        <f t="shared" si="8"/>
        <v>0</v>
      </c>
      <c r="O56" s="280">
        <f t="shared" si="8"/>
        <v>0</v>
      </c>
      <c r="P56" s="280">
        <f t="shared" si="8"/>
        <v>0</v>
      </c>
      <c r="Q56" s="280">
        <f t="shared" si="8"/>
        <v>0</v>
      </c>
      <c r="R56" s="280">
        <f t="shared" si="8"/>
        <v>0</v>
      </c>
      <c r="S56" s="280">
        <f t="shared" si="8"/>
        <v>0</v>
      </c>
      <c r="T56" s="280">
        <f t="shared" si="8"/>
        <v>0</v>
      </c>
      <c r="U56" s="280">
        <f t="shared" si="8"/>
        <v>30000</v>
      </c>
    </row>
    <row r="57" spans="1:21" ht="24" thickTop="1">
      <c r="A57" s="17"/>
      <c r="B57" s="279"/>
      <c r="C57" s="41"/>
      <c r="D57" s="2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50"/>
      <c r="U57" s="50"/>
    </row>
    <row r="58" spans="1:21" ht="22.5" customHeight="1">
      <c r="A58" s="10"/>
      <c r="B58" s="18"/>
      <c r="C58" s="240"/>
      <c r="D58" s="36"/>
      <c r="E58" s="36"/>
      <c r="F58" s="3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135"/>
    </row>
    <row r="59" spans="1:21" ht="24" thickBot="1">
      <c r="A59" s="144"/>
      <c r="B59" s="144"/>
      <c r="C59" s="144"/>
      <c r="D59" s="1" t="s">
        <v>7</v>
      </c>
      <c r="E59" s="144"/>
      <c r="F59" s="144"/>
      <c r="G59" s="188">
        <f>G11+G16+G27+G37+G42+G45+G51+G56</f>
        <v>2035000</v>
      </c>
      <c r="H59" s="188">
        <f aca="true" t="shared" si="9" ref="H59:U59">H11+H16+H27+H37+H42+H45+H51+H56</f>
        <v>123840</v>
      </c>
      <c r="I59" s="188">
        <f t="shared" si="9"/>
        <v>128130</v>
      </c>
      <c r="J59" s="188">
        <f t="shared" si="9"/>
        <v>111679</v>
      </c>
      <c r="K59" s="188">
        <f t="shared" si="9"/>
        <v>109745</v>
      </c>
      <c r="L59" s="188">
        <f t="shared" si="9"/>
        <v>122145</v>
      </c>
      <c r="M59" s="188">
        <f t="shared" si="9"/>
        <v>159625</v>
      </c>
      <c r="N59" s="188">
        <f t="shared" si="9"/>
        <v>138447</v>
      </c>
      <c r="O59" s="188">
        <f t="shared" si="9"/>
        <v>144795</v>
      </c>
      <c r="P59" s="188">
        <f t="shared" si="9"/>
        <v>114785</v>
      </c>
      <c r="Q59" s="188">
        <f t="shared" si="9"/>
        <v>118595</v>
      </c>
      <c r="R59" s="188">
        <f t="shared" si="9"/>
        <v>120519</v>
      </c>
      <c r="S59" s="188">
        <f t="shared" si="9"/>
        <v>138371</v>
      </c>
      <c r="T59" s="188">
        <f t="shared" si="9"/>
        <v>1530676</v>
      </c>
      <c r="U59" s="188">
        <f t="shared" si="9"/>
        <v>504324</v>
      </c>
    </row>
    <row r="60" spans="1:21" ht="24" thickTop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</row>
    <row r="61" spans="1:21" ht="39.75">
      <c r="A61" s="252"/>
      <c r="B61" s="142"/>
      <c r="C61" s="142"/>
      <c r="D61" s="142"/>
      <c r="E61" s="256">
        <f>E34</f>
        <v>97000</v>
      </c>
      <c r="F61" s="256">
        <f>F35</f>
        <v>7000</v>
      </c>
      <c r="G61" s="256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256"/>
    </row>
    <row r="62" spans="1:21" ht="23.25">
      <c r="A62" s="256"/>
      <c r="B62" s="142"/>
      <c r="C62" s="142"/>
      <c r="D62" s="256"/>
      <c r="E62" s="142"/>
      <c r="F62" s="142"/>
      <c r="G62" s="256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</row>
    <row r="63" spans="1:21" ht="23.25">
      <c r="A63" s="142"/>
      <c r="B63" s="142"/>
      <c r="C63" s="142"/>
      <c r="D63" s="486">
        <f>G55</f>
        <v>30000</v>
      </c>
      <c r="E63" s="142"/>
      <c r="F63" s="142"/>
      <c r="G63" s="142"/>
      <c r="H63" s="486">
        <f>H55</f>
        <v>0</v>
      </c>
      <c r="I63" s="486">
        <f aca="true" t="shared" si="10" ref="I63:T63">I55</f>
        <v>0</v>
      </c>
      <c r="J63" s="486">
        <f t="shared" si="10"/>
        <v>0</v>
      </c>
      <c r="K63" s="486">
        <f t="shared" si="10"/>
        <v>0</v>
      </c>
      <c r="L63" s="486">
        <f t="shared" si="10"/>
        <v>0</v>
      </c>
      <c r="M63" s="486">
        <f t="shared" si="10"/>
        <v>0</v>
      </c>
      <c r="N63" s="486">
        <f t="shared" si="10"/>
        <v>0</v>
      </c>
      <c r="O63" s="486">
        <f t="shared" si="10"/>
        <v>0</v>
      </c>
      <c r="P63" s="486">
        <f t="shared" si="10"/>
        <v>0</v>
      </c>
      <c r="Q63" s="486">
        <f t="shared" si="10"/>
        <v>0</v>
      </c>
      <c r="R63" s="486">
        <f t="shared" si="10"/>
        <v>0</v>
      </c>
      <c r="S63" s="486">
        <f t="shared" si="10"/>
        <v>0</v>
      </c>
      <c r="T63" s="486">
        <f t="shared" si="10"/>
        <v>0</v>
      </c>
      <c r="U63" s="142"/>
    </row>
    <row r="64" spans="1:21" ht="23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</row>
    <row r="65" spans="1:21" ht="23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</row>
    <row r="66" spans="1:16" ht="23.2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</row>
    <row r="67" spans="1:16" ht="23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</row>
    <row r="68" spans="1:16" ht="23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</row>
    <row r="69" spans="1:16" ht="23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</row>
  </sheetData>
  <sheetProtection/>
  <mergeCells count="17">
    <mergeCell ref="C30:D30"/>
    <mergeCell ref="C18:D18"/>
    <mergeCell ref="A28:U28"/>
    <mergeCell ref="A30:A31"/>
    <mergeCell ref="C13:D13"/>
    <mergeCell ref="C17:D17"/>
    <mergeCell ref="A29:U29"/>
    <mergeCell ref="C47:D47"/>
    <mergeCell ref="C32:D32"/>
    <mergeCell ref="A1:U1"/>
    <mergeCell ref="A2:A3"/>
    <mergeCell ref="C2:D2"/>
    <mergeCell ref="C5:D5"/>
    <mergeCell ref="C4:D4"/>
    <mergeCell ref="B34:C34"/>
    <mergeCell ref="C7:D7"/>
    <mergeCell ref="C8:D8"/>
  </mergeCells>
  <printOptions/>
  <pageMargins left="0.8267716535433072" right="0.1968503937007874" top="0.5118110236220472" bottom="0.1968503937007874" header="0.5905511811023623" footer="0.4330708661417323"/>
  <pageSetup horizontalDpi="300" verticalDpi="300" orientation="landscape" paperSize="5" scale="80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1"/>
  <sheetViews>
    <sheetView view="pageBreakPreview" zoomScaleSheetLayoutView="100" zoomScalePageLayoutView="0" workbookViewId="0" topLeftCell="A52">
      <selection activeCell="B46" sqref="B46"/>
    </sheetView>
  </sheetViews>
  <sheetFormatPr defaultColWidth="12.28125" defaultRowHeight="23.25"/>
  <cols>
    <col min="1" max="1" width="53.421875" style="167" customWidth="1"/>
    <col min="2" max="4" width="22.421875" style="167" customWidth="1"/>
    <col min="5" max="16384" width="12.28125" style="167" customWidth="1"/>
  </cols>
  <sheetData>
    <row r="1" spans="1:4" ht="24.75" customHeight="1">
      <c r="A1" s="655" t="s">
        <v>552</v>
      </c>
      <c r="B1" s="655"/>
      <c r="C1" s="655"/>
      <c r="D1" s="655"/>
    </row>
    <row r="2" spans="1:4" ht="24.75" customHeight="1">
      <c r="A2" s="655" t="s">
        <v>579</v>
      </c>
      <c r="B2" s="655"/>
      <c r="C2" s="655"/>
      <c r="D2" s="655"/>
    </row>
    <row r="3" spans="1:4" ht="24.75" customHeight="1">
      <c r="A3" s="655" t="s">
        <v>566</v>
      </c>
      <c r="B3" s="655"/>
      <c r="C3" s="655"/>
      <c r="D3" s="655"/>
    </row>
    <row r="4" spans="1:4" ht="21" customHeight="1">
      <c r="A4" s="656" t="s">
        <v>4</v>
      </c>
      <c r="B4" s="518" t="s">
        <v>531</v>
      </c>
      <c r="C4" s="518" t="s">
        <v>532</v>
      </c>
      <c r="D4" s="518" t="s">
        <v>6</v>
      </c>
    </row>
    <row r="5" spans="1:4" ht="21" customHeight="1">
      <c r="A5" s="657"/>
      <c r="B5" s="521"/>
      <c r="C5" s="521" t="s">
        <v>533</v>
      </c>
      <c r="D5" s="521" t="s">
        <v>5</v>
      </c>
    </row>
    <row r="6" spans="1:4" ht="21" customHeight="1">
      <c r="A6" s="522" t="s">
        <v>556</v>
      </c>
      <c r="B6" s="600"/>
      <c r="C6" s="576"/>
      <c r="D6" s="577"/>
    </row>
    <row r="7" spans="1:5" ht="21" customHeight="1">
      <c r="A7" s="522" t="s">
        <v>557</v>
      </c>
      <c r="B7" s="577">
        <v>585540</v>
      </c>
      <c r="C7" s="180">
        <f>'ส่วนโยธา (2)'!R5</f>
        <v>575040</v>
      </c>
      <c r="D7" s="577">
        <f>B7-C7</f>
        <v>10500</v>
      </c>
      <c r="E7" s="278"/>
    </row>
    <row r="8" spans="1:4" ht="21" customHeight="1">
      <c r="A8" s="581" t="s">
        <v>558</v>
      </c>
      <c r="B8" s="577">
        <v>42000</v>
      </c>
      <c r="C8" s="180">
        <f>'ส่วนโยธา (2)'!R7</f>
        <v>42000</v>
      </c>
      <c r="D8" s="577">
        <f>B8-C8</f>
        <v>0</v>
      </c>
    </row>
    <row r="9" spans="1:5" ht="21" customHeight="1" thickBot="1">
      <c r="A9" s="520" t="s">
        <v>534</v>
      </c>
      <c r="B9" s="601">
        <f>SUM(B7:B8)</f>
        <v>627540</v>
      </c>
      <c r="C9" s="556">
        <f>SUM(C7:C8)</f>
        <v>617040</v>
      </c>
      <c r="D9" s="556">
        <f>SUM(D7:D8)</f>
        <v>10500</v>
      </c>
      <c r="E9" s="278"/>
    </row>
    <row r="10" spans="1:4" ht="21" customHeight="1" thickTop="1">
      <c r="A10" s="581" t="s">
        <v>255</v>
      </c>
      <c r="B10" s="591"/>
      <c r="C10" s="577"/>
      <c r="D10" s="577"/>
    </row>
    <row r="11" spans="1:4" ht="21" customHeight="1">
      <c r="A11" s="581" t="s">
        <v>256</v>
      </c>
      <c r="B11" s="536"/>
      <c r="C11" s="577"/>
      <c r="D11" s="577"/>
    </row>
    <row r="12" spans="1:5" ht="21" customHeight="1">
      <c r="A12" s="584" t="s">
        <v>559</v>
      </c>
      <c r="B12" s="541">
        <v>84000</v>
      </c>
      <c r="C12" s="180">
        <f>'ส่วนโยธา (2)'!R11</f>
        <v>78000</v>
      </c>
      <c r="D12" s="577">
        <f>B12-C12</f>
        <v>6000</v>
      </c>
      <c r="E12" s="278"/>
    </row>
    <row r="13" spans="1:4" ht="21" customHeight="1">
      <c r="A13" s="585" t="s">
        <v>560</v>
      </c>
      <c r="B13" s="541">
        <v>40000</v>
      </c>
      <c r="C13" s="180">
        <f>'ส่วนโยธา (2)'!R12</f>
        <v>20215</v>
      </c>
      <c r="D13" s="577">
        <f>B13-C13</f>
        <v>19785</v>
      </c>
    </row>
    <row r="14" spans="1:4" ht="21" customHeight="1" thickBot="1">
      <c r="A14" s="584"/>
      <c r="B14" s="541"/>
      <c r="C14" s="580"/>
      <c r="D14" s="580"/>
    </row>
    <row r="15" spans="1:4" ht="21" customHeight="1" thickBot="1" thickTop="1">
      <c r="A15" s="520" t="s">
        <v>497</v>
      </c>
      <c r="B15" s="601">
        <f>SUM(B12:B14)</f>
        <v>124000</v>
      </c>
      <c r="C15" s="556">
        <f>SUM(C12:C14)</f>
        <v>98215</v>
      </c>
      <c r="D15" s="556">
        <f>SUM(D12:D14)</f>
        <v>25785</v>
      </c>
    </row>
    <row r="16" spans="1:4" ht="21" customHeight="1" thickTop="1">
      <c r="A16" s="581" t="s">
        <v>23</v>
      </c>
      <c r="B16" s="591"/>
      <c r="C16" s="576"/>
      <c r="D16" s="577"/>
    </row>
    <row r="17" spans="1:4" ht="21" customHeight="1">
      <c r="A17" s="581" t="s">
        <v>561</v>
      </c>
      <c r="B17" s="604"/>
      <c r="C17" s="576"/>
      <c r="D17" s="577"/>
    </row>
    <row r="18" spans="1:5" ht="21" customHeight="1">
      <c r="A18" s="163" t="s">
        <v>81</v>
      </c>
      <c r="B18" s="536">
        <v>20000</v>
      </c>
      <c r="C18" s="180">
        <f>'ส่วนโยธา (2)'!R18</f>
        <v>16200</v>
      </c>
      <c r="D18" s="577">
        <f>B18-C18</f>
        <v>3800</v>
      </c>
      <c r="E18" s="278"/>
    </row>
    <row r="19" spans="1:6" ht="21" customHeight="1">
      <c r="A19" s="163" t="s">
        <v>289</v>
      </c>
      <c r="B19" s="536">
        <v>100000</v>
      </c>
      <c r="C19" s="180">
        <f>'ส่วนโยธา (2)'!R19</f>
        <v>98025</v>
      </c>
      <c r="D19" s="577">
        <f aca="true" t="shared" si="0" ref="D19:D24">B19-C19</f>
        <v>1975</v>
      </c>
      <c r="E19" s="278"/>
      <c r="F19" s="278"/>
    </row>
    <row r="20" spans="1:5" ht="21" customHeight="1">
      <c r="A20" s="581" t="s">
        <v>562</v>
      </c>
      <c r="B20" s="604"/>
      <c r="C20" s="180"/>
      <c r="D20" s="577"/>
      <c r="E20" s="278"/>
    </row>
    <row r="21" spans="1:5" ht="21" customHeight="1">
      <c r="A21" s="163" t="s">
        <v>64</v>
      </c>
      <c r="C21" s="180"/>
      <c r="D21" s="577"/>
      <c r="E21" s="278"/>
    </row>
    <row r="22" spans="1:5" ht="21" customHeight="1">
      <c r="A22" s="163" t="s">
        <v>65</v>
      </c>
      <c r="B22" s="541">
        <v>20000</v>
      </c>
      <c r="C22" s="180">
        <f>'ส่วนโยธา (2)'!R22</f>
        <v>4902</v>
      </c>
      <c r="D22" s="577">
        <f t="shared" si="0"/>
        <v>15098</v>
      </c>
      <c r="E22" s="278"/>
    </row>
    <row r="23" spans="1:4" ht="21" customHeight="1">
      <c r="A23" s="581" t="s">
        <v>563</v>
      </c>
      <c r="B23" s="604"/>
      <c r="C23" s="180"/>
      <c r="D23" s="577"/>
    </row>
    <row r="24" spans="1:4" ht="21" customHeight="1">
      <c r="A24" s="163" t="s">
        <v>196</v>
      </c>
      <c r="B24" s="539">
        <v>50000</v>
      </c>
      <c r="C24" s="180">
        <f>'ส่วนโยธา (2)'!R24</f>
        <v>3400</v>
      </c>
      <c r="D24" s="577">
        <f t="shared" si="0"/>
        <v>46600</v>
      </c>
    </row>
    <row r="25" spans="1:5" ht="21" customHeight="1" thickBot="1">
      <c r="A25" s="520" t="s">
        <v>500</v>
      </c>
      <c r="B25" s="579">
        <f>SUM(B18:B24)</f>
        <v>190000</v>
      </c>
      <c r="C25" s="528">
        <f>SUM(C17:C24)</f>
        <v>122527</v>
      </c>
      <c r="D25" s="528">
        <f>SUM(D17:D24)</f>
        <v>67473</v>
      </c>
      <c r="E25" s="278"/>
    </row>
    <row r="26" spans="1:4" ht="21" customHeight="1" thickTop="1">
      <c r="A26" s="581" t="s">
        <v>257</v>
      </c>
      <c r="B26" s="591"/>
      <c r="C26" s="576"/>
      <c r="D26" s="180"/>
    </row>
    <row r="27" spans="1:4" ht="21" customHeight="1">
      <c r="A27" s="581" t="s">
        <v>564</v>
      </c>
      <c r="B27" s="541">
        <v>30000</v>
      </c>
      <c r="C27" s="180">
        <f>'ส่วนโยธา (2)'!R27</f>
        <v>27220</v>
      </c>
      <c r="D27" s="180">
        <f>B27-C27</f>
        <v>2780</v>
      </c>
    </row>
    <row r="28" spans="1:4" ht="21" customHeight="1">
      <c r="A28" s="581" t="s">
        <v>565</v>
      </c>
      <c r="B28" s="541">
        <v>50000</v>
      </c>
      <c r="C28" s="180">
        <f>'ส่วนโยธา (2)'!R28</f>
        <v>3550</v>
      </c>
      <c r="D28" s="180">
        <f>B28-C28</f>
        <v>46450</v>
      </c>
    </row>
    <row r="29" spans="1:4" ht="21" customHeight="1">
      <c r="A29" s="581" t="s">
        <v>260</v>
      </c>
      <c r="B29" s="541">
        <v>30000</v>
      </c>
      <c r="C29" s="180">
        <f>'ส่วนโยธา (2)'!R29</f>
        <v>16440</v>
      </c>
      <c r="D29" s="180">
        <f>B29-C29</f>
        <v>13560</v>
      </c>
    </row>
    <row r="30" spans="1:4" ht="21" customHeight="1">
      <c r="A30" s="581" t="s">
        <v>261</v>
      </c>
      <c r="B30" s="605">
        <v>80000</v>
      </c>
      <c r="C30" s="180">
        <f>'ส่วนโยธา (2)'!R30</f>
        <v>76697.2</v>
      </c>
      <c r="D30" s="180">
        <f>B30-C30</f>
        <v>3302.800000000003</v>
      </c>
    </row>
    <row r="31" spans="1:5" ht="21" customHeight="1" thickBot="1">
      <c r="A31" s="520" t="s">
        <v>502</v>
      </c>
      <c r="B31" s="554">
        <f>SUM(B27:B30)</f>
        <v>190000</v>
      </c>
      <c r="C31" s="528">
        <f>SUM(C27:C30)</f>
        <v>123907.2</v>
      </c>
      <c r="D31" s="528">
        <f>SUM(D27:D30)</f>
        <v>66092.8</v>
      </c>
      <c r="E31" s="278"/>
    </row>
    <row r="32" spans="1:4" ht="21" customHeight="1" thickTop="1">
      <c r="A32" s="581" t="s">
        <v>429</v>
      </c>
      <c r="B32" s="536"/>
      <c r="C32" s="180"/>
      <c r="D32" s="606"/>
    </row>
    <row r="33" spans="1:4" ht="21" customHeight="1">
      <c r="A33" s="4" t="s">
        <v>428</v>
      </c>
      <c r="B33" s="536">
        <v>9000</v>
      </c>
      <c r="C33" s="180">
        <f>'ส่วนโยธา (2)'!R33</f>
        <v>0</v>
      </c>
      <c r="D33" s="180">
        <f aca="true" t="shared" si="1" ref="D33:D39">B33-C33</f>
        <v>9000</v>
      </c>
    </row>
    <row r="34" spans="1:4" ht="21" customHeight="1">
      <c r="A34" s="581" t="s">
        <v>310</v>
      </c>
      <c r="B34" s="607"/>
      <c r="C34" s="180"/>
      <c r="D34" s="180"/>
    </row>
    <row r="35" spans="1:4" ht="21" customHeight="1">
      <c r="A35" s="4" t="s">
        <v>359</v>
      </c>
      <c r="B35" s="536">
        <v>7900</v>
      </c>
      <c r="C35" s="180">
        <f>'ส่วนโยธา (2)'!R35</f>
        <v>7900</v>
      </c>
      <c r="D35" s="180">
        <f t="shared" si="1"/>
        <v>0</v>
      </c>
    </row>
    <row r="36" spans="1:4" ht="21" customHeight="1">
      <c r="A36" s="4" t="s">
        <v>430</v>
      </c>
      <c r="B36" s="536">
        <v>2800</v>
      </c>
      <c r="C36" s="180">
        <f>'ส่วนโยธา (2)'!R36</f>
        <v>2800</v>
      </c>
      <c r="D36" s="180">
        <f t="shared" si="1"/>
        <v>0</v>
      </c>
    </row>
    <row r="37" spans="1:4" ht="22.5" customHeight="1">
      <c r="A37" s="581" t="s">
        <v>447</v>
      </c>
      <c r="B37" s="536"/>
      <c r="C37" s="180"/>
      <c r="D37" s="180"/>
    </row>
    <row r="38" spans="1:4" ht="22.5" customHeight="1">
      <c r="A38" s="4" t="s">
        <v>448</v>
      </c>
      <c r="B38" s="536">
        <v>150000</v>
      </c>
      <c r="C38" s="180">
        <f>'ส่วนโยธา (2)'!R38</f>
        <v>150000</v>
      </c>
      <c r="D38" s="180">
        <f t="shared" si="1"/>
        <v>0</v>
      </c>
    </row>
    <row r="39" spans="1:4" ht="22.5" customHeight="1">
      <c r="A39" s="4" t="s">
        <v>449</v>
      </c>
      <c r="B39" s="536">
        <v>150000</v>
      </c>
      <c r="C39" s="180">
        <f>'ส่วนโยธา (2)'!R39</f>
        <v>150000</v>
      </c>
      <c r="D39" s="180">
        <f t="shared" si="1"/>
        <v>0</v>
      </c>
    </row>
    <row r="40" spans="1:4" ht="21" customHeight="1" thickBot="1">
      <c r="A40" s="520" t="s">
        <v>554</v>
      </c>
      <c r="B40" s="608">
        <f>SUM(B33:B39)</f>
        <v>319700</v>
      </c>
      <c r="C40" s="528">
        <f>SUM(C32:C39)</f>
        <v>310700</v>
      </c>
      <c r="D40" s="528">
        <f>SUM(D32:D39)</f>
        <v>9000</v>
      </c>
    </row>
    <row r="41" spans="1:4" ht="21" customHeight="1" thickTop="1">
      <c r="A41" s="581" t="s">
        <v>265</v>
      </c>
      <c r="B41" s="609"/>
      <c r="C41" s="610"/>
      <c r="D41" s="610"/>
    </row>
    <row r="42" spans="1:5" ht="21" customHeight="1">
      <c r="A42" s="4" t="s">
        <v>432</v>
      </c>
      <c r="B42" s="536">
        <v>400000</v>
      </c>
      <c r="C42" s="180">
        <f>'ส่วนโยธา (2)'!R42</f>
        <v>397000</v>
      </c>
      <c r="D42" s="606">
        <f>B42-C42</f>
        <v>3000</v>
      </c>
      <c r="E42" s="611"/>
    </row>
    <row r="43" spans="1:5" ht="21" customHeight="1">
      <c r="A43" s="4" t="s">
        <v>433</v>
      </c>
      <c r="B43" s="536">
        <v>120000</v>
      </c>
      <c r="C43" s="180">
        <f>'ส่วนโยธา (2)'!R43</f>
        <v>119000</v>
      </c>
      <c r="D43" s="606">
        <f aca="true" t="shared" si="2" ref="D43:D59">B43-C43</f>
        <v>1000</v>
      </c>
      <c r="E43" s="611"/>
    </row>
    <row r="44" spans="1:5" ht="21" customHeight="1">
      <c r="A44" s="4" t="s">
        <v>434</v>
      </c>
      <c r="B44" s="536">
        <v>120000</v>
      </c>
      <c r="C44" s="180">
        <f>'ส่วนโยธา (2)'!R44</f>
        <v>119000</v>
      </c>
      <c r="D44" s="606">
        <f t="shared" si="2"/>
        <v>1000</v>
      </c>
      <c r="E44" s="611"/>
    </row>
    <row r="45" spans="1:5" ht="21" customHeight="1">
      <c r="A45" s="4" t="s">
        <v>435</v>
      </c>
      <c r="B45" s="536">
        <v>210000</v>
      </c>
      <c r="C45" s="180">
        <f>'ส่วนโยธา (2)'!R45</f>
        <v>210000</v>
      </c>
      <c r="D45" s="180">
        <f t="shared" si="2"/>
        <v>0</v>
      </c>
      <c r="E45" s="611"/>
    </row>
    <row r="46" spans="1:5" ht="21" customHeight="1">
      <c r="A46" s="656" t="s">
        <v>4</v>
      </c>
      <c r="B46" s="518" t="s">
        <v>531</v>
      </c>
      <c r="C46" s="518" t="s">
        <v>532</v>
      </c>
      <c r="D46" s="518" t="s">
        <v>6</v>
      </c>
      <c r="E46" s="611"/>
    </row>
    <row r="47" spans="1:5" ht="21" customHeight="1">
      <c r="A47" s="657"/>
      <c r="B47" s="521"/>
      <c r="C47" s="521" t="s">
        <v>533</v>
      </c>
      <c r="D47" s="521" t="s">
        <v>5</v>
      </c>
      <c r="E47" s="611"/>
    </row>
    <row r="48" spans="1:5" ht="21" customHeight="1">
      <c r="A48" s="4" t="s">
        <v>436</v>
      </c>
      <c r="B48" s="536">
        <v>15000</v>
      </c>
      <c r="C48" s="180">
        <f>'ส่วนโยธา (2)'!R46</f>
        <v>9000</v>
      </c>
      <c r="D48" s="606">
        <f t="shared" si="2"/>
        <v>6000</v>
      </c>
      <c r="E48" s="175"/>
    </row>
    <row r="49" spans="1:5" ht="21" customHeight="1">
      <c r="A49" s="4" t="s">
        <v>437</v>
      </c>
      <c r="B49" s="536">
        <v>15000</v>
      </c>
      <c r="C49" s="180">
        <f>'ส่วนโยธา (2)'!R47</f>
        <v>12000</v>
      </c>
      <c r="D49" s="606">
        <f t="shared" si="2"/>
        <v>3000</v>
      </c>
      <c r="E49" s="175"/>
    </row>
    <row r="50" spans="1:5" ht="21" customHeight="1">
      <c r="A50" s="4" t="s">
        <v>438</v>
      </c>
      <c r="B50" s="536">
        <v>260000</v>
      </c>
      <c r="C50" s="180">
        <f>'ส่วนโยธา (2)'!R48</f>
        <v>0</v>
      </c>
      <c r="D50" s="606">
        <f t="shared" si="2"/>
        <v>260000</v>
      </c>
      <c r="E50" s="175"/>
    </row>
    <row r="51" spans="1:5" ht="21" customHeight="1">
      <c r="A51" s="4" t="s">
        <v>439</v>
      </c>
      <c r="B51" s="536">
        <v>390000</v>
      </c>
      <c r="C51" s="180">
        <f>'ส่วนโยธา (2)'!R49</f>
        <v>389500</v>
      </c>
      <c r="D51" s="606">
        <f t="shared" si="2"/>
        <v>500</v>
      </c>
      <c r="E51" s="175"/>
    </row>
    <row r="52" spans="1:5" ht="21" customHeight="1">
      <c r="A52" s="4" t="s">
        <v>440</v>
      </c>
      <c r="B52" s="536">
        <v>70000</v>
      </c>
      <c r="C52" s="180">
        <f>'ส่วนโยธา (2)'!R50</f>
        <v>67000</v>
      </c>
      <c r="D52" s="606">
        <f t="shared" si="2"/>
        <v>3000</v>
      </c>
      <c r="E52" s="175"/>
    </row>
    <row r="53" spans="1:5" ht="21" customHeight="1">
      <c r="A53" s="4" t="s">
        <v>441</v>
      </c>
      <c r="B53" s="536">
        <v>130000</v>
      </c>
      <c r="C53" s="180">
        <f>'ส่วนโยธา (2)'!R51</f>
        <v>114000</v>
      </c>
      <c r="D53" s="606">
        <f t="shared" si="2"/>
        <v>16000</v>
      </c>
      <c r="E53" s="175"/>
    </row>
    <row r="54" spans="1:5" ht="21" customHeight="1">
      <c r="A54" s="4" t="s">
        <v>442</v>
      </c>
      <c r="B54" s="536">
        <v>450000</v>
      </c>
      <c r="C54" s="180">
        <f>'ส่วนโยธา (2)'!R52</f>
        <v>345000</v>
      </c>
      <c r="D54" s="606">
        <f t="shared" si="2"/>
        <v>105000</v>
      </c>
      <c r="E54" s="175"/>
    </row>
    <row r="55" spans="1:5" ht="21" customHeight="1">
      <c r="A55" s="4" t="s">
        <v>443</v>
      </c>
      <c r="B55" s="536">
        <v>300000</v>
      </c>
      <c r="C55" s="180">
        <f>'ส่วนโยธา (2)'!R53</f>
        <v>300000</v>
      </c>
      <c r="D55" s="606">
        <f t="shared" si="2"/>
        <v>0</v>
      </c>
      <c r="E55" s="175"/>
    </row>
    <row r="56" spans="1:5" ht="21" customHeight="1">
      <c r="A56" s="4" t="s">
        <v>444</v>
      </c>
      <c r="B56" s="536">
        <v>15000</v>
      </c>
      <c r="C56" s="180">
        <f>'ส่วนโยธา (2)'!R54</f>
        <v>13800</v>
      </c>
      <c r="D56" s="606">
        <f t="shared" si="2"/>
        <v>1200</v>
      </c>
      <c r="E56" s="175"/>
    </row>
    <row r="57" spans="1:5" ht="21" customHeight="1">
      <c r="A57" s="4" t="s">
        <v>445</v>
      </c>
      <c r="B57" s="536">
        <v>50000</v>
      </c>
      <c r="C57" s="180">
        <f>'ส่วนโยธา (2)'!R55</f>
        <v>0</v>
      </c>
      <c r="D57" s="606">
        <f t="shared" si="2"/>
        <v>50000</v>
      </c>
      <c r="E57" s="175"/>
    </row>
    <row r="58" spans="1:5" ht="21" customHeight="1">
      <c r="A58" s="4" t="s">
        <v>446</v>
      </c>
      <c r="B58" s="536">
        <v>50000</v>
      </c>
      <c r="C58" s="180">
        <f>'ส่วนโยธา (2)'!R56</f>
        <v>49000</v>
      </c>
      <c r="D58" s="606">
        <f t="shared" si="2"/>
        <v>1000</v>
      </c>
      <c r="E58" s="175"/>
    </row>
    <row r="59" spans="1:5" ht="21" customHeight="1">
      <c r="A59" s="4" t="s">
        <v>451</v>
      </c>
      <c r="B59" s="536">
        <v>10000</v>
      </c>
      <c r="C59" s="180">
        <f>'ส่วนโยธา (2)'!R57</f>
        <v>9500</v>
      </c>
      <c r="D59" s="606">
        <f t="shared" si="2"/>
        <v>500</v>
      </c>
      <c r="E59" s="175"/>
    </row>
    <row r="60" spans="1:5" ht="21" customHeight="1" thickBot="1">
      <c r="A60" s="520" t="s">
        <v>555</v>
      </c>
      <c r="B60" s="612">
        <f>SUM(B42:B59)</f>
        <v>2605000</v>
      </c>
      <c r="C60" s="528">
        <f>SUM(C42:C59)</f>
        <v>2153800</v>
      </c>
      <c r="D60" s="528">
        <f>SUM(D42:D59)</f>
        <v>451200</v>
      </c>
      <c r="E60" s="175"/>
    </row>
    <row r="61" spans="1:6" ht="24.75" thickBot="1" thickTop="1">
      <c r="A61" s="163"/>
      <c r="B61" s="613">
        <f>B9+B15+B25+B31+B40+B60</f>
        <v>4056240</v>
      </c>
      <c r="C61" s="613">
        <f>C9+C15+C25+C31+C40+C60</f>
        <v>3426189.2</v>
      </c>
      <c r="D61" s="613">
        <f>D9+D15+D25+D31+D40+D60</f>
        <v>630050.8</v>
      </c>
      <c r="E61" s="175"/>
      <c r="F61" s="175"/>
    </row>
    <row r="62" spans="1:6" ht="24" thickTop="1">
      <c r="A62" s="614"/>
      <c r="B62" s="615"/>
      <c r="C62" s="616"/>
      <c r="D62" s="616"/>
      <c r="E62" s="175"/>
      <c r="F62" s="175"/>
    </row>
    <row r="63" spans="1:6" ht="23.25">
      <c r="A63" s="290"/>
      <c r="B63" s="617"/>
      <c r="C63" s="619"/>
      <c r="D63" s="619"/>
      <c r="E63" s="175"/>
      <c r="F63" s="175"/>
    </row>
    <row r="64" spans="1:6" ht="23.25">
      <c r="A64" s="290"/>
      <c r="B64" s="617"/>
      <c r="C64" s="619"/>
      <c r="D64" s="619"/>
      <c r="E64" s="175"/>
      <c r="F64" s="175"/>
    </row>
    <row r="65" spans="1:6" ht="23.25">
      <c r="A65" s="175"/>
      <c r="B65" s="617"/>
      <c r="C65" s="619"/>
      <c r="D65" s="619"/>
      <c r="E65" s="175"/>
      <c r="F65" s="175"/>
    </row>
    <row r="66" spans="1:6" ht="23.25">
      <c r="A66" s="290"/>
      <c r="B66" s="617"/>
      <c r="C66" s="619"/>
      <c r="D66" s="619"/>
      <c r="E66" s="175"/>
      <c r="F66" s="175"/>
    </row>
    <row r="67" spans="1:6" ht="23.25">
      <c r="A67" s="290"/>
      <c r="B67" s="617"/>
      <c r="C67" s="619"/>
      <c r="D67" s="619"/>
      <c r="E67" s="175"/>
      <c r="F67" s="175"/>
    </row>
    <row r="68" spans="1:6" ht="23.25">
      <c r="A68" s="175"/>
      <c r="B68" s="617"/>
      <c r="C68" s="619"/>
      <c r="D68" s="619"/>
      <c r="E68" s="175"/>
      <c r="F68" s="175"/>
    </row>
    <row r="69" spans="1:6" ht="23.25">
      <c r="A69" s="175"/>
      <c r="B69" s="617"/>
      <c r="C69" s="619"/>
      <c r="D69" s="619"/>
      <c r="E69" s="175"/>
      <c r="F69" s="175"/>
    </row>
    <row r="70" spans="1:6" ht="23.25">
      <c r="A70" s="290"/>
      <c r="B70" s="617"/>
      <c r="C70" s="620"/>
      <c r="D70" s="620"/>
      <c r="E70" s="175"/>
      <c r="F70" s="175"/>
    </row>
    <row r="71" spans="1:6" ht="23.25">
      <c r="A71" s="175"/>
      <c r="B71" s="617"/>
      <c r="C71" s="620"/>
      <c r="D71" s="620"/>
      <c r="E71" s="175"/>
      <c r="F71" s="175"/>
    </row>
    <row r="72" spans="1:6" ht="23.25">
      <c r="A72" s="290"/>
      <c r="B72" s="617"/>
      <c r="C72" s="620"/>
      <c r="D72" s="620"/>
      <c r="E72" s="175"/>
      <c r="F72" s="175"/>
    </row>
    <row r="73" spans="1:6" ht="23.25">
      <c r="A73" s="175"/>
      <c r="B73" s="617"/>
      <c r="C73" s="620"/>
      <c r="D73" s="620"/>
      <c r="E73" s="175"/>
      <c r="F73" s="175"/>
    </row>
    <row r="74" spans="1:6" ht="23.25">
      <c r="A74" s="175"/>
      <c r="B74" s="617"/>
      <c r="C74" s="620"/>
      <c r="D74" s="620"/>
      <c r="E74" s="175"/>
      <c r="F74" s="175"/>
    </row>
    <row r="75" spans="1:6" ht="23.25">
      <c r="A75" s="175"/>
      <c r="B75" s="617"/>
      <c r="C75" s="620"/>
      <c r="D75" s="620"/>
      <c r="E75" s="175"/>
      <c r="F75" s="175"/>
    </row>
    <row r="76" spans="1:6" ht="23.25">
      <c r="A76" s="175"/>
      <c r="B76" s="617"/>
      <c r="C76" s="620"/>
      <c r="D76" s="620"/>
      <c r="E76" s="175"/>
      <c r="F76" s="175"/>
    </row>
    <row r="77" spans="1:6" ht="23.25">
      <c r="A77" s="175"/>
      <c r="B77" s="617"/>
      <c r="C77" s="620"/>
      <c r="D77" s="620"/>
      <c r="E77" s="175"/>
      <c r="F77" s="175"/>
    </row>
    <row r="78" spans="1:6" ht="23.25">
      <c r="A78" s="175"/>
      <c r="B78" s="617"/>
      <c r="C78" s="620"/>
      <c r="D78" s="620"/>
      <c r="E78" s="175"/>
      <c r="F78" s="175"/>
    </row>
    <row r="79" spans="5:6" ht="23.25">
      <c r="E79" s="175"/>
      <c r="F79" s="175"/>
    </row>
    <row r="80" spans="5:6" ht="23.25">
      <c r="E80" s="175"/>
      <c r="F80" s="175"/>
    </row>
    <row r="81" spans="5:6" ht="23.25">
      <c r="E81" s="175"/>
      <c r="F81" s="175"/>
    </row>
    <row r="82" spans="5:6" ht="23.25">
      <c r="E82" s="175"/>
      <c r="F82" s="175"/>
    </row>
    <row r="83" spans="5:6" ht="23.25">
      <c r="E83" s="175"/>
      <c r="F83" s="175"/>
    </row>
    <row r="84" spans="5:6" ht="23.25">
      <c r="E84" s="175"/>
      <c r="F84" s="175"/>
    </row>
    <row r="85" spans="5:6" ht="23.25">
      <c r="E85" s="175"/>
      <c r="F85" s="175"/>
    </row>
    <row r="86" ht="23.25">
      <c r="E86" s="175"/>
    </row>
    <row r="87" ht="23.25">
      <c r="E87" s="175"/>
    </row>
    <row r="88" ht="23.25">
      <c r="E88" s="175"/>
    </row>
    <row r="89" ht="23.25">
      <c r="E89" s="175"/>
    </row>
    <row r="90" ht="23.25">
      <c r="E90" s="175"/>
    </row>
    <row r="91" ht="23.25">
      <c r="E91" s="175"/>
    </row>
  </sheetData>
  <sheetProtection/>
  <mergeCells count="5">
    <mergeCell ref="A3:D3"/>
    <mergeCell ref="A4:A5"/>
    <mergeCell ref="A1:D1"/>
    <mergeCell ref="A2:D2"/>
    <mergeCell ref="A46:A47"/>
  </mergeCells>
  <printOptions/>
  <pageMargins left="0.7086614173228347" right="0.2362204724409449" top="0.5905511811023623" bottom="0.5905511811023623" header="1.0236220472440944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89"/>
  <sheetViews>
    <sheetView view="pageBreakPreview" zoomScaleSheetLayoutView="100" zoomScalePageLayoutView="0" workbookViewId="0" topLeftCell="C55">
      <selection activeCell="E18" sqref="E18"/>
    </sheetView>
  </sheetViews>
  <sheetFormatPr defaultColWidth="12.28125" defaultRowHeight="23.25"/>
  <cols>
    <col min="1" max="1" width="36.00390625" style="167" customWidth="1"/>
    <col min="2" max="2" width="10.7109375" style="167" customWidth="1"/>
    <col min="3" max="3" width="10.140625" style="167" bestFit="1" customWidth="1"/>
    <col min="4" max="4" width="9.00390625" style="167" bestFit="1" customWidth="1"/>
    <col min="5" max="5" width="10.421875" style="167" customWidth="1"/>
    <col min="6" max="6" width="9.140625" style="167" customWidth="1"/>
    <col min="7" max="7" width="8.28125" style="167" customWidth="1"/>
    <col min="8" max="8" width="9.8515625" style="167" customWidth="1"/>
    <col min="9" max="9" width="9.28125" style="167" customWidth="1"/>
    <col min="10" max="10" width="8.8515625" style="167" customWidth="1"/>
    <col min="11" max="11" width="9.57421875" style="167" customWidth="1"/>
    <col min="12" max="12" width="9.421875" style="167" customWidth="1"/>
    <col min="13" max="13" width="9.57421875" style="167" customWidth="1"/>
    <col min="14" max="14" width="10.00390625" style="167" customWidth="1"/>
    <col min="15" max="15" width="9.00390625" style="167" customWidth="1"/>
    <col min="16" max="16" width="9.57421875" style="167" customWidth="1"/>
    <col min="17" max="17" width="8.8515625" style="167" customWidth="1"/>
    <col min="18" max="18" width="10.7109375" style="167" customWidth="1"/>
    <col min="19" max="19" width="10.57421875" style="167" customWidth="1"/>
    <col min="20" max="16384" width="12.28125" style="167" customWidth="1"/>
  </cols>
  <sheetData>
    <row r="1" spans="1:19" ht="21" customHeight="1">
      <c r="A1" s="658" t="s">
        <v>489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</row>
    <row r="2" spans="1:20" ht="21" customHeight="1">
      <c r="A2" s="659" t="s">
        <v>4</v>
      </c>
      <c r="B2" s="94"/>
      <c r="C2" s="120" t="s">
        <v>9</v>
      </c>
      <c r="D2" s="120" t="s">
        <v>9</v>
      </c>
      <c r="E2" s="120" t="s">
        <v>25</v>
      </c>
      <c r="F2" s="120" t="s">
        <v>26</v>
      </c>
      <c r="G2" s="120" t="s">
        <v>27</v>
      </c>
      <c r="H2" s="121" t="s">
        <v>28</v>
      </c>
      <c r="I2" s="120" t="s">
        <v>29</v>
      </c>
      <c r="J2" s="121" t="s">
        <v>30</v>
      </c>
      <c r="K2" s="120" t="s">
        <v>31</v>
      </c>
      <c r="L2" s="121" t="s">
        <v>32</v>
      </c>
      <c r="M2" s="120" t="s">
        <v>33</v>
      </c>
      <c r="N2" s="121" t="s">
        <v>34</v>
      </c>
      <c r="O2" s="120" t="s">
        <v>35</v>
      </c>
      <c r="P2" s="121" t="s">
        <v>36</v>
      </c>
      <c r="Q2" s="120" t="s">
        <v>37</v>
      </c>
      <c r="R2" s="121" t="s">
        <v>25</v>
      </c>
      <c r="S2" s="120" t="s">
        <v>6</v>
      </c>
      <c r="T2" s="142"/>
    </row>
    <row r="3" spans="1:20" ht="21" customHeight="1">
      <c r="A3" s="660"/>
      <c r="B3" s="94" t="s">
        <v>2</v>
      </c>
      <c r="C3" s="95" t="s">
        <v>10</v>
      </c>
      <c r="D3" s="95" t="s">
        <v>11</v>
      </c>
      <c r="E3" s="95"/>
      <c r="F3" s="182"/>
      <c r="G3" s="182"/>
      <c r="H3" s="172"/>
      <c r="I3" s="182"/>
      <c r="J3" s="172"/>
      <c r="K3" s="182"/>
      <c r="L3" s="172"/>
      <c r="M3" s="182"/>
      <c r="N3" s="172"/>
      <c r="O3" s="182"/>
      <c r="P3" s="172"/>
      <c r="Q3" s="182"/>
      <c r="R3" s="96"/>
      <c r="S3" s="95" t="s">
        <v>5</v>
      </c>
      <c r="T3" s="142"/>
    </row>
    <row r="4" spans="1:20" ht="21" customHeight="1">
      <c r="A4" s="7" t="s">
        <v>56</v>
      </c>
      <c r="B4" s="512"/>
      <c r="C4" s="1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  <c r="S4" s="52"/>
      <c r="T4" s="142"/>
    </row>
    <row r="5" spans="1:20" ht="21" customHeight="1">
      <c r="A5" s="7" t="s">
        <v>61</v>
      </c>
      <c r="B5" s="52">
        <v>585540</v>
      </c>
      <c r="C5" s="37">
        <v>0</v>
      </c>
      <c r="D5" s="52"/>
      <c r="E5" s="52">
        <f>+B5+C5-D5</f>
        <v>585540</v>
      </c>
      <c r="F5" s="52">
        <v>47450</v>
      </c>
      <c r="G5" s="52">
        <v>47450</v>
      </c>
      <c r="H5" s="52">
        <v>47450</v>
      </c>
      <c r="I5" s="52">
        <v>47450</v>
      </c>
      <c r="J5" s="52">
        <v>47450</v>
      </c>
      <c r="K5" s="52">
        <v>47450</v>
      </c>
      <c r="L5" s="52">
        <v>48390</v>
      </c>
      <c r="M5" s="52">
        <v>48390</v>
      </c>
      <c r="N5" s="52">
        <v>48390</v>
      </c>
      <c r="O5" s="52">
        <v>48390</v>
      </c>
      <c r="P5" s="52">
        <v>48390</v>
      </c>
      <c r="Q5" s="52">
        <v>48390</v>
      </c>
      <c r="R5" s="135">
        <f>SUM(F5:Q5)</f>
        <v>575040</v>
      </c>
      <c r="S5" s="179">
        <f>+E5-R5</f>
        <v>10500</v>
      </c>
      <c r="T5" s="256"/>
    </row>
    <row r="6" spans="1:20" ht="21" customHeight="1">
      <c r="A6" s="105" t="s">
        <v>58</v>
      </c>
      <c r="B6" s="52">
        <v>0</v>
      </c>
      <c r="C6" s="14"/>
      <c r="D6" s="52"/>
      <c r="E6" s="52">
        <f>+B6+C6-D6</f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135">
        <f>SUM(F6:Q6)</f>
        <v>0</v>
      </c>
      <c r="S6" s="179">
        <f>+E6-R6</f>
        <v>0</v>
      </c>
      <c r="T6" s="142"/>
    </row>
    <row r="7" spans="1:20" ht="21" customHeight="1" thickBot="1">
      <c r="A7" s="105" t="s">
        <v>251</v>
      </c>
      <c r="B7" s="52">
        <v>42000</v>
      </c>
      <c r="C7" s="37"/>
      <c r="D7" s="52"/>
      <c r="E7" s="91">
        <f>+B7+C7-D7</f>
        <v>42000</v>
      </c>
      <c r="F7" s="52">
        <v>3500</v>
      </c>
      <c r="G7" s="52">
        <v>3500</v>
      </c>
      <c r="H7" s="52">
        <v>3500</v>
      </c>
      <c r="I7" s="52">
        <v>3500</v>
      </c>
      <c r="J7" s="52">
        <v>3500</v>
      </c>
      <c r="K7" s="52">
        <v>3500</v>
      </c>
      <c r="L7" s="52">
        <v>3500</v>
      </c>
      <c r="M7" s="52">
        <v>3500</v>
      </c>
      <c r="N7" s="52">
        <v>3500</v>
      </c>
      <c r="O7" s="52">
        <v>3500</v>
      </c>
      <c r="P7" s="52">
        <v>3500</v>
      </c>
      <c r="Q7" s="52">
        <v>3500</v>
      </c>
      <c r="R7" s="136">
        <f>SUM(F7:Q7)</f>
        <v>42000</v>
      </c>
      <c r="S7" s="197">
        <f>+E7-R7</f>
        <v>0</v>
      </c>
      <c r="T7" s="142"/>
    </row>
    <row r="8" spans="1:20" ht="21" customHeight="1" thickBot="1" thickTop="1">
      <c r="A8" s="48" t="s">
        <v>534</v>
      </c>
      <c r="B8" s="596">
        <f>SUM(B5:B7)</f>
        <v>627540</v>
      </c>
      <c r="C8" s="14"/>
      <c r="D8" s="52"/>
      <c r="E8" s="181">
        <f>SUM(E5:E7)</f>
        <v>627540</v>
      </c>
      <c r="F8" s="181">
        <f aca="true" t="shared" si="0" ref="F8:S8">SUM(F5:F7)</f>
        <v>50950</v>
      </c>
      <c r="G8" s="181">
        <f t="shared" si="0"/>
        <v>50950</v>
      </c>
      <c r="H8" s="181">
        <f t="shared" si="0"/>
        <v>50950</v>
      </c>
      <c r="I8" s="181">
        <f t="shared" si="0"/>
        <v>50950</v>
      </c>
      <c r="J8" s="181">
        <f t="shared" si="0"/>
        <v>50950</v>
      </c>
      <c r="K8" s="181">
        <f t="shared" si="0"/>
        <v>50950</v>
      </c>
      <c r="L8" s="181">
        <f t="shared" si="0"/>
        <v>51890</v>
      </c>
      <c r="M8" s="181">
        <f t="shared" si="0"/>
        <v>51890</v>
      </c>
      <c r="N8" s="181">
        <f t="shared" si="0"/>
        <v>51890</v>
      </c>
      <c r="O8" s="181">
        <f t="shared" si="0"/>
        <v>51890</v>
      </c>
      <c r="P8" s="181">
        <f t="shared" si="0"/>
        <v>51890</v>
      </c>
      <c r="Q8" s="181">
        <f t="shared" si="0"/>
        <v>51890</v>
      </c>
      <c r="R8" s="181">
        <f t="shared" si="0"/>
        <v>617040</v>
      </c>
      <c r="S8" s="181">
        <f t="shared" si="0"/>
        <v>10500</v>
      </c>
      <c r="T8" s="256"/>
    </row>
    <row r="9" spans="1:20" ht="21" customHeight="1" thickTop="1">
      <c r="A9" s="105" t="s">
        <v>255</v>
      </c>
      <c r="B9" s="595"/>
      <c r="C9" s="3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79"/>
      <c r="S9" s="179"/>
      <c r="T9" s="142"/>
    </row>
    <row r="10" spans="1:20" ht="21" customHeight="1">
      <c r="A10" s="105" t="s">
        <v>256</v>
      </c>
      <c r="B10" s="514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79"/>
      <c r="S10" s="179"/>
      <c r="T10" s="142"/>
    </row>
    <row r="11" spans="1:20" ht="21" customHeight="1">
      <c r="A11" s="194" t="s">
        <v>286</v>
      </c>
      <c r="B11" s="36">
        <v>84000</v>
      </c>
      <c r="C11" s="22"/>
      <c r="D11" s="52"/>
      <c r="E11" s="52">
        <f>+B11+C11-D11</f>
        <v>84000</v>
      </c>
      <c r="F11" s="52">
        <v>0</v>
      </c>
      <c r="G11" s="52">
        <f>3500+3000</f>
        <v>6500</v>
      </c>
      <c r="H11" s="52">
        <f>3500+3000</f>
        <v>6500</v>
      </c>
      <c r="I11" s="52">
        <f>6500</f>
        <v>6500</v>
      </c>
      <c r="J11" s="52">
        <v>6500</v>
      </c>
      <c r="K11" s="52">
        <v>6500</v>
      </c>
      <c r="L11" s="52">
        <v>6500</v>
      </c>
      <c r="M11" s="52">
        <v>6500</v>
      </c>
      <c r="N11" s="52">
        <v>6500</v>
      </c>
      <c r="O11" s="52">
        <v>6500</v>
      </c>
      <c r="P11" s="52">
        <v>6500</v>
      </c>
      <c r="Q11" s="52">
        <f>6500*2</f>
        <v>13000</v>
      </c>
      <c r="R11" s="179">
        <f>SUM(F11:Q11)</f>
        <v>78000</v>
      </c>
      <c r="S11" s="179">
        <f>+E11-R11</f>
        <v>6000</v>
      </c>
      <c r="T11" s="256"/>
    </row>
    <row r="12" spans="1:20" ht="21" customHeight="1">
      <c r="A12" s="160" t="s">
        <v>287</v>
      </c>
      <c r="B12" s="36">
        <v>40000</v>
      </c>
      <c r="C12" s="22"/>
      <c r="D12" s="52"/>
      <c r="E12" s="52">
        <f>+B12+C12-D12</f>
        <v>40000</v>
      </c>
      <c r="F12" s="52">
        <v>0</v>
      </c>
      <c r="G12" s="52">
        <v>0</v>
      </c>
      <c r="H12" s="52">
        <v>9080</v>
      </c>
      <c r="I12" s="52">
        <f>4800+4000</f>
        <v>8800</v>
      </c>
      <c r="J12" s="52">
        <v>0</v>
      </c>
      <c r="K12" s="52">
        <v>0</v>
      </c>
      <c r="L12" s="52">
        <v>0</v>
      </c>
      <c r="M12" s="52">
        <v>0</v>
      </c>
      <c r="N12" s="52">
        <v>2335</v>
      </c>
      <c r="O12" s="52">
        <v>0</v>
      </c>
      <c r="P12" s="52">
        <v>0</v>
      </c>
      <c r="Q12" s="52">
        <v>0</v>
      </c>
      <c r="R12" s="179">
        <f>SUM(F12:Q12)</f>
        <v>20215</v>
      </c>
      <c r="S12" s="179">
        <f>+E12-R12</f>
        <v>19785</v>
      </c>
      <c r="T12" s="142"/>
    </row>
    <row r="13" spans="1:20" ht="21" customHeight="1">
      <c r="A13" s="160" t="s">
        <v>288</v>
      </c>
      <c r="B13" s="36">
        <v>0</v>
      </c>
      <c r="C13" s="22"/>
      <c r="D13" s="52"/>
      <c r="E13" s="52">
        <f>+B13+C13-D13</f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196">
        <f>SUM(F13:Q13)</f>
        <v>0</v>
      </c>
      <c r="S13" s="196">
        <f>+E13-R13</f>
        <v>0</v>
      </c>
      <c r="T13" s="142"/>
    </row>
    <row r="14" spans="1:20" ht="21" customHeight="1" thickBot="1">
      <c r="A14" s="194"/>
      <c r="B14" s="36"/>
      <c r="C14" s="22"/>
      <c r="D14" s="52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197"/>
      <c r="S14" s="197"/>
      <c r="T14" s="142"/>
    </row>
    <row r="15" spans="1:20" ht="21" customHeight="1" thickBot="1" thickTop="1">
      <c r="A15" s="48" t="s">
        <v>497</v>
      </c>
      <c r="B15" s="596">
        <f>SUM(B11:B14)</f>
        <v>124000</v>
      </c>
      <c r="C15" s="143"/>
      <c r="D15" s="52"/>
      <c r="E15" s="181">
        <f aca="true" t="shared" si="1" ref="E15:S15">SUM(E11:E14)</f>
        <v>124000</v>
      </c>
      <c r="F15" s="181">
        <f t="shared" si="1"/>
        <v>0</v>
      </c>
      <c r="G15" s="181">
        <f t="shared" si="1"/>
        <v>6500</v>
      </c>
      <c r="H15" s="181">
        <f t="shared" si="1"/>
        <v>15580</v>
      </c>
      <c r="I15" s="181">
        <f t="shared" si="1"/>
        <v>15300</v>
      </c>
      <c r="J15" s="181">
        <f t="shared" si="1"/>
        <v>6500</v>
      </c>
      <c r="K15" s="181">
        <f t="shared" si="1"/>
        <v>6500</v>
      </c>
      <c r="L15" s="181">
        <f t="shared" si="1"/>
        <v>6500</v>
      </c>
      <c r="M15" s="181">
        <f t="shared" si="1"/>
        <v>6500</v>
      </c>
      <c r="N15" s="181">
        <f t="shared" si="1"/>
        <v>8835</v>
      </c>
      <c r="O15" s="181">
        <f t="shared" si="1"/>
        <v>6500</v>
      </c>
      <c r="P15" s="181">
        <f t="shared" si="1"/>
        <v>6500</v>
      </c>
      <c r="Q15" s="181">
        <f t="shared" si="1"/>
        <v>13000</v>
      </c>
      <c r="R15" s="181">
        <f t="shared" si="1"/>
        <v>98215</v>
      </c>
      <c r="S15" s="181">
        <f t="shared" si="1"/>
        <v>25785</v>
      </c>
      <c r="T15" s="142"/>
    </row>
    <row r="16" spans="1:20" ht="21" customHeight="1" thickTop="1">
      <c r="A16" s="105" t="s">
        <v>23</v>
      </c>
      <c r="B16" s="597"/>
      <c r="C16" s="14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0"/>
      <c r="S16" s="52"/>
      <c r="T16" s="142"/>
    </row>
    <row r="17" spans="1:20" ht="21" customHeight="1">
      <c r="A17" s="105" t="s">
        <v>80</v>
      </c>
      <c r="B17" s="515"/>
      <c r="C17" s="143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0"/>
      <c r="S17" s="52"/>
      <c r="T17" s="142"/>
    </row>
    <row r="18" spans="1:20" ht="21" customHeight="1">
      <c r="A18" s="144" t="s">
        <v>81</v>
      </c>
      <c r="B18" s="162">
        <v>20000</v>
      </c>
      <c r="C18" s="143">
        <v>0</v>
      </c>
      <c r="D18" s="52"/>
      <c r="E18" s="52">
        <f>+B18+C18-D18</f>
        <v>20000</v>
      </c>
      <c r="F18" s="52">
        <v>3900</v>
      </c>
      <c r="G18" s="52">
        <v>0</v>
      </c>
      <c r="H18" s="52">
        <v>0</v>
      </c>
      <c r="I18" s="52">
        <v>0</v>
      </c>
      <c r="J18" s="52">
        <f>3900+4500</f>
        <v>8400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3900</v>
      </c>
      <c r="Q18" s="52">
        <v>0</v>
      </c>
      <c r="R18" s="135">
        <f>SUM(F18:Q18)</f>
        <v>16200</v>
      </c>
      <c r="S18" s="135">
        <f>+E18-R18</f>
        <v>3800</v>
      </c>
      <c r="T18" s="256"/>
    </row>
    <row r="19" spans="1:21" ht="21" customHeight="1">
      <c r="A19" s="144" t="s">
        <v>289</v>
      </c>
      <c r="B19" s="162">
        <v>100000</v>
      </c>
      <c r="C19" s="143">
        <v>0</v>
      </c>
      <c r="D19" s="52"/>
      <c r="E19" s="52">
        <f>+B19+C19-D19</f>
        <v>100000</v>
      </c>
      <c r="F19" s="52">
        <v>0</v>
      </c>
      <c r="G19" s="52">
        <v>0</v>
      </c>
      <c r="H19" s="52">
        <v>6000</v>
      </c>
      <c r="I19" s="52">
        <v>9700</v>
      </c>
      <c r="J19" s="52">
        <v>0</v>
      </c>
      <c r="K19" s="52">
        <v>0</v>
      </c>
      <c r="L19" s="52">
        <v>0</v>
      </c>
      <c r="M19" s="52">
        <v>0</v>
      </c>
      <c r="N19" s="52">
        <v>10000</v>
      </c>
      <c r="O19" s="52">
        <v>0</v>
      </c>
      <c r="P19" s="52">
        <f>2325+48000</f>
        <v>50325</v>
      </c>
      <c r="Q19" s="52">
        <v>22000</v>
      </c>
      <c r="R19" s="135">
        <f>SUM(F19:Q19)</f>
        <v>98025</v>
      </c>
      <c r="S19" s="135">
        <f>+E19-R19</f>
        <v>1975</v>
      </c>
      <c r="T19" s="256"/>
      <c r="U19" s="278"/>
    </row>
    <row r="20" spans="1:20" ht="21" customHeight="1">
      <c r="A20" s="105" t="s">
        <v>82</v>
      </c>
      <c r="B20" s="516"/>
      <c r="C20" s="143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0"/>
      <c r="S20" s="135"/>
      <c r="T20" s="256"/>
    </row>
    <row r="21" spans="1:20" ht="21" customHeight="1">
      <c r="A21" s="144" t="s">
        <v>64</v>
      </c>
      <c r="C21" s="143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0"/>
      <c r="S21" s="135"/>
      <c r="T21" s="256"/>
    </row>
    <row r="22" spans="1:20" ht="21" customHeight="1">
      <c r="A22" s="144" t="s">
        <v>65</v>
      </c>
      <c r="B22" s="36">
        <v>20000</v>
      </c>
      <c r="C22" s="143"/>
      <c r="D22" s="52">
        <v>0</v>
      </c>
      <c r="E22" s="52">
        <f>+B22+C22-D22</f>
        <v>20000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4902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135">
        <f>SUM(F22:Q22)</f>
        <v>4902</v>
      </c>
      <c r="S22" s="135">
        <f>+E22-R22</f>
        <v>15098</v>
      </c>
      <c r="T22" s="256"/>
    </row>
    <row r="23" spans="1:20" ht="21" customHeight="1">
      <c r="A23" s="105" t="s">
        <v>83</v>
      </c>
      <c r="B23" s="515"/>
      <c r="C23" s="14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0"/>
      <c r="S23" s="135"/>
      <c r="T23" s="142"/>
    </row>
    <row r="24" spans="1:20" ht="21" customHeight="1">
      <c r="A24" s="144" t="s">
        <v>196</v>
      </c>
      <c r="B24" s="203">
        <v>50000</v>
      </c>
      <c r="C24" s="143"/>
      <c r="D24" s="52">
        <v>0</v>
      </c>
      <c r="E24" s="52">
        <f>+B24+C24-D24</f>
        <v>50000</v>
      </c>
      <c r="F24" s="52">
        <v>0</v>
      </c>
      <c r="G24" s="52">
        <v>1000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500</v>
      </c>
      <c r="N24" s="52">
        <v>0</v>
      </c>
      <c r="O24" s="52">
        <v>0</v>
      </c>
      <c r="P24" s="52">
        <v>1900</v>
      </c>
      <c r="Q24" s="52">
        <v>0</v>
      </c>
      <c r="R24" s="135">
        <f>SUM(F24:Q24)</f>
        <v>3400</v>
      </c>
      <c r="S24" s="135">
        <f>+E24-R24</f>
        <v>46600</v>
      </c>
      <c r="T24" s="142"/>
    </row>
    <row r="25" spans="1:20" ht="21" customHeight="1" thickBot="1">
      <c r="A25" s="48" t="s">
        <v>500</v>
      </c>
      <c r="B25" s="242">
        <f>SUM(B18:B24)</f>
        <v>190000</v>
      </c>
      <c r="C25" s="143"/>
      <c r="D25" s="52"/>
      <c r="E25" s="136">
        <f aca="true" t="shared" si="2" ref="E25:S25">SUM(E17:E24)</f>
        <v>190000</v>
      </c>
      <c r="F25" s="136">
        <f t="shared" si="2"/>
        <v>3900</v>
      </c>
      <c r="G25" s="136">
        <f t="shared" si="2"/>
        <v>1000</v>
      </c>
      <c r="H25" s="136">
        <f t="shared" si="2"/>
        <v>6000</v>
      </c>
      <c r="I25" s="136">
        <f t="shared" si="2"/>
        <v>9700</v>
      </c>
      <c r="J25" s="136">
        <f t="shared" si="2"/>
        <v>8400</v>
      </c>
      <c r="K25" s="136">
        <f t="shared" si="2"/>
        <v>4902</v>
      </c>
      <c r="L25" s="136">
        <f t="shared" si="2"/>
        <v>0</v>
      </c>
      <c r="M25" s="136">
        <f t="shared" si="2"/>
        <v>500</v>
      </c>
      <c r="N25" s="136">
        <f t="shared" si="2"/>
        <v>10000</v>
      </c>
      <c r="O25" s="136">
        <f t="shared" si="2"/>
        <v>0</v>
      </c>
      <c r="P25" s="136">
        <f t="shared" si="2"/>
        <v>56125</v>
      </c>
      <c r="Q25" s="136">
        <f t="shared" si="2"/>
        <v>22000</v>
      </c>
      <c r="R25" s="136">
        <f t="shared" si="2"/>
        <v>122527</v>
      </c>
      <c r="S25" s="136">
        <f t="shared" si="2"/>
        <v>67473</v>
      </c>
      <c r="T25" s="256"/>
    </row>
    <row r="26" spans="1:20" ht="21" customHeight="1" thickTop="1">
      <c r="A26" s="105" t="s">
        <v>257</v>
      </c>
      <c r="B26" s="595"/>
      <c r="C26" s="14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51"/>
      <c r="S26" s="150"/>
      <c r="T26" s="142"/>
    </row>
    <row r="27" spans="1:20" ht="21" customHeight="1">
      <c r="A27" s="105" t="s">
        <v>258</v>
      </c>
      <c r="B27" s="36">
        <v>30000</v>
      </c>
      <c r="C27" s="36"/>
      <c r="D27" s="52">
        <v>0</v>
      </c>
      <c r="E27" s="52">
        <f>+B27+C27-D27</f>
        <v>30000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1665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25555</v>
      </c>
      <c r="R27" s="135">
        <f>SUM(F27:Q27)</f>
        <v>27220</v>
      </c>
      <c r="S27" s="135">
        <f>+E27-R27</f>
        <v>2780</v>
      </c>
      <c r="T27" s="142"/>
    </row>
    <row r="28" spans="1:20" ht="21" customHeight="1">
      <c r="A28" s="105" t="s">
        <v>259</v>
      </c>
      <c r="B28" s="36">
        <v>50000</v>
      </c>
      <c r="C28" s="143"/>
      <c r="D28" s="206">
        <v>0</v>
      </c>
      <c r="E28" s="52">
        <f>+B28+C28-D28</f>
        <v>50000</v>
      </c>
      <c r="F28" s="283"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1090</v>
      </c>
      <c r="N28" s="283">
        <v>0</v>
      </c>
      <c r="O28" s="283">
        <v>0</v>
      </c>
      <c r="P28" s="283">
        <v>1250</v>
      </c>
      <c r="Q28" s="283">
        <v>1210</v>
      </c>
      <c r="R28" s="135">
        <f>SUM(F28:Q28)</f>
        <v>3550</v>
      </c>
      <c r="S28" s="135">
        <f>+E28-R28</f>
        <v>46450</v>
      </c>
      <c r="T28" s="142"/>
    </row>
    <row r="29" spans="1:20" ht="21" customHeight="1">
      <c r="A29" s="105" t="s">
        <v>260</v>
      </c>
      <c r="B29" s="36">
        <v>30000</v>
      </c>
      <c r="C29" s="143"/>
      <c r="D29" s="22">
        <v>0</v>
      </c>
      <c r="E29" s="52">
        <f>+B29+C29-D29</f>
        <v>30000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/>
      <c r="L29" s="22">
        <v>6780</v>
      </c>
      <c r="M29" s="22">
        <v>0</v>
      </c>
      <c r="N29" s="22">
        <v>0</v>
      </c>
      <c r="O29" s="22">
        <v>0</v>
      </c>
      <c r="P29" s="22">
        <v>0</v>
      </c>
      <c r="Q29" s="22">
        <v>9660</v>
      </c>
      <c r="R29" s="135">
        <f>SUM(F29:Q29)</f>
        <v>16440</v>
      </c>
      <c r="S29" s="135">
        <f>+E29-R29</f>
        <v>13560</v>
      </c>
      <c r="T29" s="142"/>
    </row>
    <row r="30" spans="1:20" ht="21" customHeight="1">
      <c r="A30" s="105" t="s">
        <v>261</v>
      </c>
      <c r="B30" s="154">
        <v>80000</v>
      </c>
      <c r="C30" s="204"/>
      <c r="D30" s="89"/>
      <c r="E30" s="52">
        <f>+B30+C30-D30</f>
        <v>80000</v>
      </c>
      <c r="F30" s="184">
        <v>5400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9000</v>
      </c>
      <c r="M30" s="184">
        <v>3900</v>
      </c>
      <c r="N30" s="184">
        <v>31397.2</v>
      </c>
      <c r="O30" s="184">
        <v>27000</v>
      </c>
      <c r="P30" s="184">
        <v>0</v>
      </c>
      <c r="Q30" s="184">
        <v>0</v>
      </c>
      <c r="R30" s="135">
        <f>SUM(F30:Q30)</f>
        <v>76697.2</v>
      </c>
      <c r="S30" s="135">
        <f>+E30-R30</f>
        <v>3302.800000000003</v>
      </c>
      <c r="T30" s="142"/>
    </row>
    <row r="31" spans="1:20" ht="21" customHeight="1" thickBot="1">
      <c r="A31" s="48" t="s">
        <v>502</v>
      </c>
      <c r="B31" s="158">
        <f>SUM(B27:B30)</f>
        <v>190000</v>
      </c>
      <c r="C31" s="36"/>
      <c r="D31" s="52"/>
      <c r="E31" s="136">
        <f>SUM(E27:E30)</f>
        <v>190000</v>
      </c>
      <c r="F31" s="136">
        <f aca="true" t="shared" si="3" ref="F31:S31">SUM(F27:F30)</f>
        <v>5400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6">
        <f t="shared" si="3"/>
        <v>0</v>
      </c>
      <c r="K31" s="136">
        <f t="shared" si="3"/>
        <v>1665</v>
      </c>
      <c r="L31" s="136">
        <f t="shared" si="3"/>
        <v>15780</v>
      </c>
      <c r="M31" s="136">
        <f t="shared" si="3"/>
        <v>4990</v>
      </c>
      <c r="N31" s="136">
        <f t="shared" si="3"/>
        <v>31397.2</v>
      </c>
      <c r="O31" s="136">
        <f t="shared" si="3"/>
        <v>27000</v>
      </c>
      <c r="P31" s="136">
        <f t="shared" si="3"/>
        <v>1250</v>
      </c>
      <c r="Q31" s="136">
        <f t="shared" si="3"/>
        <v>36425</v>
      </c>
      <c r="R31" s="136">
        <f t="shared" si="3"/>
        <v>123907.2</v>
      </c>
      <c r="S31" s="136">
        <f t="shared" si="3"/>
        <v>66092.8</v>
      </c>
      <c r="T31" s="256"/>
    </row>
    <row r="32" spans="1:20" ht="21" customHeight="1" thickTop="1">
      <c r="A32" s="105" t="s">
        <v>429</v>
      </c>
      <c r="B32" s="162"/>
      <c r="C32" s="36"/>
      <c r="D32" s="52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135"/>
      <c r="S32" s="173"/>
      <c r="T32" s="142"/>
    </row>
    <row r="33" spans="1:20" s="460" customFormat="1" ht="21" customHeight="1">
      <c r="A33" s="449" t="s">
        <v>428</v>
      </c>
      <c r="B33" s="473">
        <v>9000</v>
      </c>
      <c r="C33" s="458">
        <v>0</v>
      </c>
      <c r="D33" s="459">
        <v>0</v>
      </c>
      <c r="E33" s="474">
        <f>+B33+C33-D33</f>
        <v>9000</v>
      </c>
      <c r="F33" s="474">
        <v>0</v>
      </c>
      <c r="G33" s="474">
        <v>0</v>
      </c>
      <c r="H33" s="474">
        <v>0</v>
      </c>
      <c r="I33" s="474">
        <v>0</v>
      </c>
      <c r="J33" s="474">
        <v>0</v>
      </c>
      <c r="K33" s="474">
        <v>0</v>
      </c>
      <c r="L33" s="474">
        <v>0</v>
      </c>
      <c r="M33" s="474">
        <v>0</v>
      </c>
      <c r="N33" s="474">
        <v>0</v>
      </c>
      <c r="O33" s="474">
        <v>0</v>
      </c>
      <c r="P33" s="474">
        <v>0</v>
      </c>
      <c r="Q33" s="474">
        <v>0</v>
      </c>
      <c r="R33" s="447">
        <f>SUM(F33:Q33)</f>
        <v>0</v>
      </c>
      <c r="S33" s="475">
        <f>+E33-R33</f>
        <v>9000</v>
      </c>
      <c r="T33" s="476"/>
    </row>
    <row r="34" spans="1:20" ht="21" customHeight="1">
      <c r="A34" s="105" t="s">
        <v>310</v>
      </c>
      <c r="B34" s="193"/>
      <c r="C34" s="36"/>
      <c r="D34" s="52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135"/>
      <c r="S34" s="173"/>
      <c r="T34" s="142"/>
    </row>
    <row r="35" spans="1:20" ht="21" customHeight="1">
      <c r="A35" s="10" t="s">
        <v>359</v>
      </c>
      <c r="B35" s="162">
        <v>7900</v>
      </c>
      <c r="C35" s="36">
        <v>0</v>
      </c>
      <c r="D35" s="52"/>
      <c r="E35" s="89">
        <f>+B35+C35-D35</f>
        <v>7900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7900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135">
        <f>SUM(F35:Q35)</f>
        <v>7900</v>
      </c>
      <c r="S35" s="173">
        <f>+E35-R35</f>
        <v>0</v>
      </c>
      <c r="T35" s="142"/>
    </row>
    <row r="36" spans="1:20" ht="21" customHeight="1">
      <c r="A36" s="10" t="s">
        <v>430</v>
      </c>
      <c r="B36" s="162">
        <v>2800</v>
      </c>
      <c r="C36" s="36">
        <v>0</v>
      </c>
      <c r="D36" s="52">
        <v>0</v>
      </c>
      <c r="E36" s="89">
        <f>+B36+C36-D36</f>
        <v>2800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2800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135">
        <f>SUM(F36:Q36)</f>
        <v>2800</v>
      </c>
      <c r="S36" s="173">
        <f>E36-R36</f>
        <v>0</v>
      </c>
      <c r="T36" s="142"/>
    </row>
    <row r="37" spans="1:20" ht="22.5" customHeight="1">
      <c r="A37" s="105" t="s">
        <v>447</v>
      </c>
      <c r="B37" s="162"/>
      <c r="C37" s="36"/>
      <c r="D37" s="52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135"/>
      <c r="S37" s="173"/>
      <c r="T37" s="142"/>
    </row>
    <row r="38" spans="1:20" s="460" customFormat="1" ht="22.5" customHeight="1">
      <c r="A38" s="449" t="s">
        <v>448</v>
      </c>
      <c r="B38" s="473">
        <v>150000</v>
      </c>
      <c r="C38" s="458">
        <v>0</v>
      </c>
      <c r="D38" s="459">
        <v>0</v>
      </c>
      <c r="E38" s="474">
        <f>+B38+C38-D38</f>
        <v>150000</v>
      </c>
      <c r="F38" s="474">
        <v>0</v>
      </c>
      <c r="G38" s="474">
        <v>0</v>
      </c>
      <c r="H38" s="474">
        <v>0</v>
      </c>
      <c r="I38" s="474">
        <v>0</v>
      </c>
      <c r="J38" s="474">
        <v>0</v>
      </c>
      <c r="K38" s="474">
        <v>0</v>
      </c>
      <c r="L38" s="474">
        <v>0</v>
      </c>
      <c r="M38" s="474">
        <v>0</v>
      </c>
      <c r="N38" s="474">
        <v>125000</v>
      </c>
      <c r="O38" s="474">
        <v>0</v>
      </c>
      <c r="P38" s="474">
        <v>25000</v>
      </c>
      <c r="Q38" s="474">
        <v>0</v>
      </c>
      <c r="R38" s="447">
        <f>SUM(F38:Q38)</f>
        <v>150000</v>
      </c>
      <c r="S38" s="475">
        <f>E38-R38</f>
        <v>0</v>
      </c>
      <c r="T38" s="476"/>
    </row>
    <row r="39" spans="1:20" s="460" customFormat="1" ht="22.5" customHeight="1">
      <c r="A39" s="449" t="s">
        <v>449</v>
      </c>
      <c r="B39" s="473">
        <v>150000</v>
      </c>
      <c r="C39" s="458">
        <v>0</v>
      </c>
      <c r="D39" s="459"/>
      <c r="E39" s="474">
        <f>+B39+C39-D39</f>
        <v>150000</v>
      </c>
      <c r="F39" s="474">
        <v>0</v>
      </c>
      <c r="G39" s="474">
        <v>0</v>
      </c>
      <c r="H39" s="474">
        <v>0</v>
      </c>
      <c r="I39" s="474">
        <v>0</v>
      </c>
      <c r="J39" s="474">
        <v>0</v>
      </c>
      <c r="K39" s="474">
        <v>0</v>
      </c>
      <c r="L39" s="474">
        <v>0</v>
      </c>
      <c r="M39" s="474">
        <v>0</v>
      </c>
      <c r="N39" s="474">
        <v>125000</v>
      </c>
      <c r="O39" s="474">
        <v>0</v>
      </c>
      <c r="P39" s="474">
        <v>25000</v>
      </c>
      <c r="Q39" s="474">
        <v>0</v>
      </c>
      <c r="R39" s="447">
        <f>SUM(F39:Q39)</f>
        <v>150000</v>
      </c>
      <c r="S39" s="475">
        <f>+E39-R39</f>
        <v>0</v>
      </c>
      <c r="T39" s="476"/>
    </row>
    <row r="40" spans="1:20" ht="21" customHeight="1" thickBot="1">
      <c r="A40" s="48" t="s">
        <v>554</v>
      </c>
      <c r="B40" s="599">
        <f>SUM(B33:B39)</f>
        <v>319700</v>
      </c>
      <c r="C40" s="36"/>
      <c r="D40" s="52"/>
      <c r="E40" s="136">
        <f>SUM(E32:E39)</f>
        <v>319700</v>
      </c>
      <c r="F40" s="136">
        <f aca="true" t="shared" si="4" ref="F40:Q40">SUM(F32:F39)</f>
        <v>0</v>
      </c>
      <c r="G40" s="136">
        <f t="shared" si="4"/>
        <v>0</v>
      </c>
      <c r="H40" s="136">
        <f t="shared" si="4"/>
        <v>0</v>
      </c>
      <c r="I40" s="136">
        <f t="shared" si="4"/>
        <v>0</v>
      </c>
      <c r="J40" s="136">
        <f t="shared" si="4"/>
        <v>0</v>
      </c>
      <c r="K40" s="136">
        <f t="shared" si="4"/>
        <v>10700</v>
      </c>
      <c r="L40" s="136">
        <f t="shared" si="4"/>
        <v>0</v>
      </c>
      <c r="M40" s="136">
        <f t="shared" si="4"/>
        <v>0</v>
      </c>
      <c r="N40" s="136">
        <f t="shared" si="4"/>
        <v>250000</v>
      </c>
      <c r="O40" s="136">
        <f t="shared" si="4"/>
        <v>0</v>
      </c>
      <c r="P40" s="136">
        <f t="shared" si="4"/>
        <v>50000</v>
      </c>
      <c r="Q40" s="136">
        <f t="shared" si="4"/>
        <v>0</v>
      </c>
      <c r="R40" s="136">
        <f>SUM(R32:R39)</f>
        <v>310700</v>
      </c>
      <c r="S40" s="136">
        <f>SUM(S32:S39)</f>
        <v>9000</v>
      </c>
      <c r="T40" s="142"/>
    </row>
    <row r="41" spans="1:20" ht="21" customHeight="1" thickTop="1">
      <c r="A41" s="105" t="s">
        <v>265</v>
      </c>
      <c r="B41" s="598"/>
      <c r="C41" s="36"/>
      <c r="D41" s="52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142"/>
    </row>
    <row r="42" spans="1:20" s="460" customFormat="1" ht="21" customHeight="1">
      <c r="A42" s="477" t="s">
        <v>432</v>
      </c>
      <c r="B42" s="473">
        <v>400000</v>
      </c>
      <c r="C42" s="458"/>
      <c r="D42" s="459"/>
      <c r="E42" s="474">
        <f aca="true" t="shared" si="5" ref="E42:E49">+B42+C42-D42</f>
        <v>400000</v>
      </c>
      <c r="F42" s="474">
        <v>0</v>
      </c>
      <c r="G42" s="474">
        <v>0</v>
      </c>
      <c r="H42" s="474">
        <v>0</v>
      </c>
      <c r="I42" s="474">
        <v>0</v>
      </c>
      <c r="J42" s="474">
        <v>0</v>
      </c>
      <c r="K42" s="474">
        <v>0</v>
      </c>
      <c r="L42" s="474">
        <v>0</v>
      </c>
      <c r="M42" s="474">
        <v>0</v>
      </c>
      <c r="N42" s="474">
        <v>0</v>
      </c>
      <c r="O42" s="474">
        <v>397000</v>
      </c>
      <c r="P42" s="474">
        <v>0</v>
      </c>
      <c r="Q42" s="474">
        <v>0</v>
      </c>
      <c r="R42" s="447">
        <f aca="true" t="shared" si="6" ref="R42:R49">SUM(F42:Q42)</f>
        <v>397000</v>
      </c>
      <c r="S42" s="479">
        <f aca="true" t="shared" si="7" ref="S42:S49">+E42-R42</f>
        <v>3000</v>
      </c>
      <c r="T42" s="480"/>
    </row>
    <row r="43" spans="1:20" ht="21" customHeight="1">
      <c r="A43" s="307" t="s">
        <v>433</v>
      </c>
      <c r="B43" s="162">
        <v>120000</v>
      </c>
      <c r="C43" s="36"/>
      <c r="D43" s="52"/>
      <c r="E43" s="89">
        <f t="shared" si="5"/>
        <v>120000</v>
      </c>
      <c r="F43" s="89">
        <v>0</v>
      </c>
      <c r="G43" s="89">
        <v>0</v>
      </c>
      <c r="H43" s="89">
        <v>0</v>
      </c>
      <c r="I43" s="89">
        <v>0</v>
      </c>
      <c r="J43" s="89">
        <v>119000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135">
        <f t="shared" si="6"/>
        <v>119000</v>
      </c>
      <c r="S43" s="441">
        <f t="shared" si="7"/>
        <v>1000</v>
      </c>
      <c r="T43" s="310"/>
    </row>
    <row r="44" spans="1:20" ht="21" customHeight="1">
      <c r="A44" s="307" t="s">
        <v>434</v>
      </c>
      <c r="B44" s="162">
        <v>120000</v>
      </c>
      <c r="C44" s="36"/>
      <c r="D44" s="52"/>
      <c r="E44" s="89">
        <f t="shared" si="5"/>
        <v>120000</v>
      </c>
      <c r="F44" s="89">
        <v>0</v>
      </c>
      <c r="G44" s="89">
        <v>0</v>
      </c>
      <c r="H44" s="89">
        <v>0</v>
      </c>
      <c r="I44" s="89">
        <v>0</v>
      </c>
      <c r="J44" s="89">
        <v>119000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135">
        <f t="shared" si="6"/>
        <v>119000</v>
      </c>
      <c r="S44" s="441">
        <f t="shared" si="7"/>
        <v>1000</v>
      </c>
      <c r="T44" s="310"/>
    </row>
    <row r="45" spans="1:20" s="460" customFormat="1" ht="21" customHeight="1">
      <c r="A45" s="477" t="s">
        <v>435</v>
      </c>
      <c r="B45" s="473">
        <v>210000</v>
      </c>
      <c r="C45" s="458"/>
      <c r="D45" s="459"/>
      <c r="E45" s="474">
        <f t="shared" si="5"/>
        <v>210000</v>
      </c>
      <c r="F45" s="474">
        <v>0</v>
      </c>
      <c r="G45" s="474">
        <v>0</v>
      </c>
      <c r="H45" s="474">
        <v>0</v>
      </c>
      <c r="I45" s="474">
        <v>0</v>
      </c>
      <c r="J45" s="474">
        <v>0</v>
      </c>
      <c r="K45" s="474">
        <v>0</v>
      </c>
      <c r="L45" s="474">
        <v>0</v>
      </c>
      <c r="M45" s="474">
        <v>0</v>
      </c>
      <c r="N45" s="474">
        <v>0</v>
      </c>
      <c r="O45" s="474">
        <v>0</v>
      </c>
      <c r="P45" s="474">
        <v>0</v>
      </c>
      <c r="Q45" s="474">
        <v>210000</v>
      </c>
      <c r="R45" s="447">
        <f t="shared" si="6"/>
        <v>210000</v>
      </c>
      <c r="S45" s="479">
        <f t="shared" si="7"/>
        <v>0</v>
      </c>
      <c r="T45" s="480"/>
    </row>
    <row r="46" spans="1:20" ht="21" customHeight="1">
      <c r="A46" s="307" t="s">
        <v>436</v>
      </c>
      <c r="B46" s="162">
        <v>15000</v>
      </c>
      <c r="C46" s="36"/>
      <c r="D46" s="52"/>
      <c r="E46" s="52">
        <f t="shared" si="5"/>
        <v>15000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9000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135">
        <f t="shared" si="6"/>
        <v>9000</v>
      </c>
      <c r="S46" s="429">
        <f t="shared" si="7"/>
        <v>6000</v>
      </c>
      <c r="T46" s="310"/>
    </row>
    <row r="47" spans="1:20" s="460" customFormat="1" ht="21" customHeight="1">
      <c r="A47" s="477" t="s">
        <v>437</v>
      </c>
      <c r="B47" s="473">
        <v>15000</v>
      </c>
      <c r="C47" s="458"/>
      <c r="D47" s="459">
        <v>0</v>
      </c>
      <c r="E47" s="459">
        <f t="shared" si="5"/>
        <v>15000</v>
      </c>
      <c r="F47" s="474">
        <v>0</v>
      </c>
      <c r="G47" s="474">
        <v>0</v>
      </c>
      <c r="H47" s="474">
        <v>0</v>
      </c>
      <c r="I47" s="474">
        <v>0</v>
      </c>
      <c r="J47" s="474">
        <v>0</v>
      </c>
      <c r="K47" s="474">
        <v>0</v>
      </c>
      <c r="L47" s="474">
        <v>12000</v>
      </c>
      <c r="M47" s="474">
        <v>0</v>
      </c>
      <c r="N47" s="474">
        <v>0</v>
      </c>
      <c r="O47" s="474">
        <v>0</v>
      </c>
      <c r="P47" s="474">
        <v>0</v>
      </c>
      <c r="Q47" s="474">
        <v>0</v>
      </c>
      <c r="R47" s="447">
        <f t="shared" si="6"/>
        <v>12000</v>
      </c>
      <c r="S47" s="481">
        <f t="shared" si="7"/>
        <v>3000</v>
      </c>
      <c r="T47" s="480"/>
    </row>
    <row r="48" spans="1:20" s="460" customFormat="1" ht="21" customHeight="1">
      <c r="A48" s="477" t="s">
        <v>438</v>
      </c>
      <c r="B48" s="473">
        <v>260000</v>
      </c>
      <c r="C48" s="458"/>
      <c r="D48" s="459">
        <v>0</v>
      </c>
      <c r="E48" s="459">
        <f t="shared" si="5"/>
        <v>260000</v>
      </c>
      <c r="F48" s="474">
        <v>0</v>
      </c>
      <c r="G48" s="474">
        <v>0</v>
      </c>
      <c r="H48" s="474">
        <v>0</v>
      </c>
      <c r="I48" s="474">
        <v>0</v>
      </c>
      <c r="J48" s="474">
        <v>0</v>
      </c>
      <c r="K48" s="474">
        <v>0</v>
      </c>
      <c r="L48" s="474">
        <v>0</v>
      </c>
      <c r="M48" s="474">
        <v>0</v>
      </c>
      <c r="N48" s="474">
        <v>0</v>
      </c>
      <c r="O48" s="474">
        <v>0</v>
      </c>
      <c r="P48" s="474">
        <v>0</v>
      </c>
      <c r="Q48" s="474">
        <v>0</v>
      </c>
      <c r="R48" s="447">
        <f t="shared" si="6"/>
        <v>0</v>
      </c>
      <c r="S48" s="481">
        <f t="shared" si="7"/>
        <v>260000</v>
      </c>
      <c r="T48" s="480"/>
    </row>
    <row r="49" spans="1:20" s="460" customFormat="1" ht="21" customHeight="1">
      <c r="A49" s="477" t="s">
        <v>439</v>
      </c>
      <c r="B49" s="473">
        <v>390000</v>
      </c>
      <c r="C49" s="458"/>
      <c r="D49" s="459"/>
      <c r="E49" s="459">
        <f t="shared" si="5"/>
        <v>390000</v>
      </c>
      <c r="F49" s="459">
        <v>0</v>
      </c>
      <c r="G49" s="459">
        <v>0</v>
      </c>
      <c r="H49" s="459">
        <v>0</v>
      </c>
      <c r="I49" s="459">
        <v>389500</v>
      </c>
      <c r="J49" s="459">
        <v>0</v>
      </c>
      <c r="K49" s="459">
        <v>0</v>
      </c>
      <c r="L49" s="459">
        <v>0</v>
      </c>
      <c r="M49" s="459">
        <v>0</v>
      </c>
      <c r="N49" s="459">
        <v>0</v>
      </c>
      <c r="O49" s="459">
        <v>0</v>
      </c>
      <c r="P49" s="459">
        <v>0</v>
      </c>
      <c r="Q49" s="459">
        <v>0</v>
      </c>
      <c r="R49" s="447">
        <f t="shared" si="6"/>
        <v>389500</v>
      </c>
      <c r="S49" s="482">
        <f t="shared" si="7"/>
        <v>500</v>
      </c>
      <c r="T49" s="480"/>
    </row>
    <row r="50" spans="1:20" ht="21" customHeight="1">
      <c r="A50" s="396" t="s">
        <v>440</v>
      </c>
      <c r="B50" s="162">
        <v>70000</v>
      </c>
      <c r="C50" s="36"/>
      <c r="D50" s="52"/>
      <c r="E50" s="52">
        <f aca="true" t="shared" si="8" ref="E50:E55">+B50+C50-D50</f>
        <v>70000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67000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135">
        <f aca="true" t="shared" si="9" ref="R50:R55">SUM(F50:Q50)</f>
        <v>67000</v>
      </c>
      <c r="S50" s="150">
        <f aca="true" t="shared" si="10" ref="S50:S55">+E50-R50</f>
        <v>3000</v>
      </c>
      <c r="T50" s="68"/>
    </row>
    <row r="51" spans="1:20" ht="21" customHeight="1">
      <c r="A51" s="396" t="s">
        <v>441</v>
      </c>
      <c r="B51" s="162">
        <v>130000</v>
      </c>
      <c r="C51" s="36">
        <v>0</v>
      </c>
      <c r="D51" s="52"/>
      <c r="E51" s="52">
        <f t="shared" si="8"/>
        <v>130000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114000</v>
      </c>
      <c r="R51" s="135">
        <f t="shared" si="9"/>
        <v>114000</v>
      </c>
      <c r="S51" s="150">
        <f t="shared" si="10"/>
        <v>16000</v>
      </c>
      <c r="T51" s="68"/>
    </row>
    <row r="52" spans="1:20" s="460" customFormat="1" ht="21" customHeight="1">
      <c r="A52" s="442" t="s">
        <v>442</v>
      </c>
      <c r="B52" s="473">
        <v>450000</v>
      </c>
      <c r="C52" s="458">
        <v>0</v>
      </c>
      <c r="D52" s="459"/>
      <c r="E52" s="459">
        <f t="shared" si="8"/>
        <v>450000</v>
      </c>
      <c r="F52" s="459">
        <v>0</v>
      </c>
      <c r="G52" s="459">
        <v>0</v>
      </c>
      <c r="H52" s="459">
        <v>0</v>
      </c>
      <c r="I52" s="459">
        <v>0</v>
      </c>
      <c r="J52" s="459">
        <v>0</v>
      </c>
      <c r="K52" s="459">
        <v>0</v>
      </c>
      <c r="L52" s="459">
        <v>0</v>
      </c>
      <c r="M52" s="459">
        <v>0</v>
      </c>
      <c r="N52" s="459">
        <v>0</v>
      </c>
      <c r="O52" s="459">
        <v>0</v>
      </c>
      <c r="P52" s="459">
        <v>0</v>
      </c>
      <c r="Q52" s="459">
        <v>345000</v>
      </c>
      <c r="R52" s="447">
        <f t="shared" si="9"/>
        <v>345000</v>
      </c>
      <c r="S52" s="482">
        <f t="shared" si="10"/>
        <v>105000</v>
      </c>
      <c r="T52" s="483"/>
    </row>
    <row r="53" spans="1:20" ht="21" customHeight="1">
      <c r="A53" s="396" t="s">
        <v>443</v>
      </c>
      <c r="B53" s="162">
        <v>300000</v>
      </c>
      <c r="C53" s="36">
        <v>0</v>
      </c>
      <c r="D53" s="52"/>
      <c r="E53" s="52">
        <f t="shared" si="8"/>
        <v>300000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300000</v>
      </c>
      <c r="R53" s="135">
        <f t="shared" si="9"/>
        <v>300000</v>
      </c>
      <c r="S53" s="150">
        <f t="shared" si="10"/>
        <v>0</v>
      </c>
      <c r="T53" s="68"/>
    </row>
    <row r="54" spans="1:20" ht="21" customHeight="1">
      <c r="A54" s="396" t="s">
        <v>444</v>
      </c>
      <c r="B54" s="162">
        <v>15000</v>
      </c>
      <c r="C54" s="36">
        <v>0</v>
      </c>
      <c r="D54" s="52"/>
      <c r="E54" s="52">
        <f>+B54+C54-D54</f>
        <v>15000</v>
      </c>
      <c r="F54" s="52">
        <v>0</v>
      </c>
      <c r="G54" s="52">
        <v>0</v>
      </c>
      <c r="H54" s="52">
        <v>0</v>
      </c>
      <c r="I54" s="52">
        <v>13800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135">
        <f>SUM(F54:Q54)</f>
        <v>13800</v>
      </c>
      <c r="S54" s="150">
        <f>+E54-R54</f>
        <v>1200</v>
      </c>
      <c r="T54" s="68"/>
    </row>
    <row r="55" spans="1:20" ht="21" customHeight="1">
      <c r="A55" s="396" t="s">
        <v>445</v>
      </c>
      <c r="B55" s="162">
        <v>50000</v>
      </c>
      <c r="C55" s="36">
        <v>0</v>
      </c>
      <c r="D55" s="52"/>
      <c r="E55" s="52">
        <f t="shared" si="8"/>
        <v>50000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135">
        <f t="shared" si="9"/>
        <v>0</v>
      </c>
      <c r="S55" s="150">
        <f t="shared" si="10"/>
        <v>50000</v>
      </c>
      <c r="T55" s="68"/>
    </row>
    <row r="56" spans="1:20" ht="21" customHeight="1">
      <c r="A56" s="396" t="s">
        <v>446</v>
      </c>
      <c r="B56" s="162">
        <v>50000</v>
      </c>
      <c r="C56" s="36">
        <v>0</v>
      </c>
      <c r="D56" s="52"/>
      <c r="E56" s="52">
        <f>+B56+C56-D56</f>
        <v>50000</v>
      </c>
      <c r="F56" s="52">
        <v>0</v>
      </c>
      <c r="G56" s="52">
        <v>0</v>
      </c>
      <c r="H56" s="52">
        <v>0</v>
      </c>
      <c r="I56" s="52">
        <v>0</v>
      </c>
      <c r="J56" s="52">
        <v>49000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135">
        <f>SUM(F56:Q56)</f>
        <v>49000</v>
      </c>
      <c r="S56" s="150">
        <f>+E56-R56</f>
        <v>1000</v>
      </c>
      <c r="T56" s="68"/>
    </row>
    <row r="57" spans="1:20" s="460" customFormat="1" ht="21" customHeight="1">
      <c r="A57" s="442" t="s">
        <v>451</v>
      </c>
      <c r="B57" s="473">
        <v>10000</v>
      </c>
      <c r="C57" s="458">
        <v>0</v>
      </c>
      <c r="D57" s="459"/>
      <c r="E57" s="459">
        <f>+B57+C57-D57</f>
        <v>10000</v>
      </c>
      <c r="F57" s="459">
        <v>0</v>
      </c>
      <c r="G57" s="459">
        <v>0</v>
      </c>
      <c r="H57" s="459">
        <v>0</v>
      </c>
      <c r="I57" s="459">
        <v>0</v>
      </c>
      <c r="J57" s="459">
        <v>0</v>
      </c>
      <c r="K57" s="459">
        <v>9500</v>
      </c>
      <c r="L57" s="459">
        <v>0</v>
      </c>
      <c r="M57" s="459">
        <v>0</v>
      </c>
      <c r="N57" s="459">
        <v>0</v>
      </c>
      <c r="O57" s="459">
        <v>0</v>
      </c>
      <c r="P57" s="459">
        <v>0</v>
      </c>
      <c r="Q57" s="459">
        <v>0</v>
      </c>
      <c r="R57" s="447">
        <f>SUM(F57:Q57)</f>
        <v>9500</v>
      </c>
      <c r="S57" s="482">
        <f>+E57-R57</f>
        <v>500</v>
      </c>
      <c r="T57" s="483"/>
    </row>
    <row r="58" spans="1:20" ht="21" customHeight="1" thickBot="1">
      <c r="A58" s="48" t="s">
        <v>555</v>
      </c>
      <c r="B58" s="285">
        <f>SUM(B42:B57)</f>
        <v>2605000</v>
      </c>
      <c r="C58" s="36"/>
      <c r="D58" s="52"/>
      <c r="E58" s="136">
        <f>SUM(E42:E57)</f>
        <v>2605000</v>
      </c>
      <c r="F58" s="136">
        <f aca="true" t="shared" si="11" ref="F58:S58">SUM(F42:F57)</f>
        <v>0</v>
      </c>
      <c r="G58" s="136">
        <f t="shared" si="11"/>
        <v>0</v>
      </c>
      <c r="H58" s="136">
        <f t="shared" si="11"/>
        <v>0</v>
      </c>
      <c r="I58" s="136">
        <f t="shared" si="11"/>
        <v>403300</v>
      </c>
      <c r="J58" s="136">
        <f t="shared" si="11"/>
        <v>287000</v>
      </c>
      <c r="K58" s="136">
        <f t="shared" si="11"/>
        <v>9500</v>
      </c>
      <c r="L58" s="136">
        <f t="shared" si="11"/>
        <v>88000</v>
      </c>
      <c r="M58" s="136">
        <f t="shared" si="11"/>
        <v>0</v>
      </c>
      <c r="N58" s="136">
        <f t="shared" si="11"/>
        <v>0</v>
      </c>
      <c r="O58" s="136">
        <f t="shared" si="11"/>
        <v>397000</v>
      </c>
      <c r="P58" s="136">
        <f t="shared" si="11"/>
        <v>0</v>
      </c>
      <c r="Q58" s="136">
        <f t="shared" si="11"/>
        <v>969000</v>
      </c>
      <c r="R58" s="136">
        <f t="shared" si="11"/>
        <v>2153800</v>
      </c>
      <c r="S58" s="136">
        <f t="shared" si="11"/>
        <v>451200</v>
      </c>
      <c r="T58" s="68"/>
    </row>
    <row r="59" spans="1:21" ht="24.75" thickBot="1" thickTop="1">
      <c r="A59" s="144"/>
      <c r="B59" s="243">
        <f>B8+B15+B25+B31+B40+B58</f>
        <v>4056240</v>
      </c>
      <c r="C59" s="52"/>
      <c r="D59" s="144"/>
      <c r="E59" s="243">
        <f>E8+E15+E25+E31+E40+E58</f>
        <v>4056240</v>
      </c>
      <c r="F59" s="243">
        <f aca="true" t="shared" si="12" ref="F59:S59">F8+F15+F25+F31+F40+F58</f>
        <v>60250</v>
      </c>
      <c r="G59" s="243">
        <f t="shared" si="12"/>
        <v>58450</v>
      </c>
      <c r="H59" s="243">
        <f t="shared" si="12"/>
        <v>72530</v>
      </c>
      <c r="I59" s="243">
        <f t="shared" si="12"/>
        <v>479250</v>
      </c>
      <c r="J59" s="243">
        <f t="shared" si="12"/>
        <v>352850</v>
      </c>
      <c r="K59" s="243">
        <f t="shared" si="12"/>
        <v>84217</v>
      </c>
      <c r="L59" s="243">
        <f t="shared" si="12"/>
        <v>162170</v>
      </c>
      <c r="M59" s="243">
        <f t="shared" si="12"/>
        <v>63880</v>
      </c>
      <c r="N59" s="243">
        <f t="shared" si="12"/>
        <v>352122.2</v>
      </c>
      <c r="O59" s="243">
        <f t="shared" si="12"/>
        <v>482390</v>
      </c>
      <c r="P59" s="243">
        <f t="shared" si="12"/>
        <v>165765</v>
      </c>
      <c r="Q59" s="243">
        <f t="shared" si="12"/>
        <v>1092315</v>
      </c>
      <c r="R59" s="243">
        <f t="shared" si="12"/>
        <v>3426189.2</v>
      </c>
      <c r="S59" s="243">
        <f t="shared" si="12"/>
        <v>630050.8</v>
      </c>
      <c r="T59" s="68"/>
      <c r="U59" s="175"/>
    </row>
    <row r="60" spans="1:21" ht="24" thickTop="1">
      <c r="A60" s="225"/>
      <c r="B60" s="226"/>
      <c r="C60" s="227"/>
      <c r="D60" s="227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68"/>
      <c r="U60" s="175"/>
    </row>
    <row r="61" spans="1:21" ht="39.75">
      <c r="A61" s="253"/>
      <c r="B61" s="118"/>
      <c r="C61" s="147"/>
      <c r="D61" s="722"/>
      <c r="E61" s="722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245"/>
      <c r="T61" s="68"/>
      <c r="U61" s="175"/>
    </row>
    <row r="62" spans="1:21" ht="40.5" thickBot="1">
      <c r="A62" s="253"/>
      <c r="B62" s="118"/>
      <c r="C62" s="147"/>
      <c r="D62" s="68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68"/>
      <c r="U62" s="175"/>
    </row>
    <row r="63" spans="1:21" ht="24" thickTop="1">
      <c r="A63" s="225"/>
      <c r="B63" s="226"/>
      <c r="C63" s="227"/>
      <c r="D63" s="225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68"/>
      <c r="U63" s="175"/>
    </row>
    <row r="64" spans="1:21" ht="23.25">
      <c r="A64" s="300"/>
      <c r="B64" s="118"/>
      <c r="C64" s="147"/>
      <c r="D64" s="68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68"/>
      <c r="U64" s="175"/>
    </row>
    <row r="65" spans="1:21" ht="23.25">
      <c r="A65" s="300"/>
      <c r="B65" s="118"/>
      <c r="C65" s="147"/>
      <c r="D65" s="68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175"/>
      <c r="U65" s="175"/>
    </row>
    <row r="66" spans="1:21" ht="23.25">
      <c r="A66" s="68"/>
      <c r="B66" s="118"/>
      <c r="C66" s="147"/>
      <c r="D66" s="68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175"/>
      <c r="U66" s="175"/>
    </row>
    <row r="67" spans="1:21" ht="23.25">
      <c r="A67" s="68"/>
      <c r="B67" s="118"/>
      <c r="C67" s="147"/>
      <c r="D67" s="68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175"/>
      <c r="U67" s="175"/>
    </row>
    <row r="68" spans="1:21" ht="26.25">
      <c r="A68" s="329"/>
      <c r="B68" s="118"/>
      <c r="C68" s="147"/>
      <c r="D68" s="6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175"/>
      <c r="U68" s="175"/>
    </row>
    <row r="69" spans="1:21" ht="23.25">
      <c r="A69" s="68"/>
      <c r="B69" s="118"/>
      <c r="C69" s="147"/>
      <c r="D69" s="6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175"/>
      <c r="U69" s="175"/>
    </row>
    <row r="70" spans="1:21" ht="37.5">
      <c r="A70" s="330"/>
      <c r="B70" s="118"/>
      <c r="C70" s="147"/>
      <c r="D70" s="6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175"/>
      <c r="U70" s="175"/>
    </row>
    <row r="71" spans="1:21" ht="23.25">
      <c r="A71" s="68"/>
      <c r="B71" s="118"/>
      <c r="C71" s="147"/>
      <c r="D71" s="6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175"/>
      <c r="U71" s="175"/>
    </row>
    <row r="72" spans="1:21" ht="23.25">
      <c r="A72" s="68"/>
      <c r="B72" s="118"/>
      <c r="C72" s="147"/>
      <c r="D72" s="6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175"/>
      <c r="U72" s="175"/>
    </row>
    <row r="73" spans="1:21" ht="23.25">
      <c r="A73" s="68"/>
      <c r="B73" s="118"/>
      <c r="C73" s="147"/>
      <c r="D73" s="6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175"/>
      <c r="U73" s="175"/>
    </row>
    <row r="74" spans="1:21" ht="23.25">
      <c r="A74" s="68"/>
      <c r="B74" s="118"/>
      <c r="C74" s="147"/>
      <c r="D74" s="6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175"/>
      <c r="U74" s="175"/>
    </row>
    <row r="75" spans="1:21" ht="23.25">
      <c r="A75" s="68"/>
      <c r="B75" s="118"/>
      <c r="C75" s="147"/>
      <c r="D75" s="6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175"/>
      <c r="U75" s="175"/>
    </row>
    <row r="76" spans="1:21" ht="23.25">
      <c r="A76" s="68"/>
      <c r="B76" s="118"/>
      <c r="C76" s="147"/>
      <c r="D76" s="6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175"/>
      <c r="U76" s="175"/>
    </row>
    <row r="77" spans="20:21" ht="23.25">
      <c r="T77" s="175"/>
      <c r="U77" s="175"/>
    </row>
    <row r="78" spans="20:21" ht="23.25">
      <c r="T78" s="175"/>
      <c r="U78" s="175"/>
    </row>
    <row r="79" spans="20:21" ht="23.25">
      <c r="T79" s="175"/>
      <c r="U79" s="175"/>
    </row>
    <row r="80" spans="20:21" ht="23.25">
      <c r="T80" s="175"/>
      <c r="U80" s="175"/>
    </row>
    <row r="81" spans="20:21" ht="23.25">
      <c r="T81" s="175"/>
      <c r="U81" s="175"/>
    </row>
    <row r="82" spans="20:21" ht="23.25">
      <c r="T82" s="175"/>
      <c r="U82" s="175"/>
    </row>
    <row r="83" spans="20:21" ht="23.25">
      <c r="T83" s="175"/>
      <c r="U83" s="175"/>
    </row>
    <row r="84" ht="23.25">
      <c r="T84" s="175"/>
    </row>
    <row r="85" ht="23.25">
      <c r="T85" s="175"/>
    </row>
    <row r="86" ht="23.25">
      <c r="T86" s="175"/>
    </row>
    <row r="87" ht="23.25">
      <c r="T87" s="175"/>
    </row>
    <row r="88" ht="23.25">
      <c r="T88" s="175"/>
    </row>
    <row r="89" ht="23.25">
      <c r="T89" s="175"/>
    </row>
  </sheetData>
  <sheetProtection/>
  <mergeCells count="3">
    <mergeCell ref="D61:E61"/>
    <mergeCell ref="A1:S1"/>
    <mergeCell ref="A2:A3"/>
  </mergeCells>
  <printOptions/>
  <pageMargins left="0.7086614173228347" right="0.2362204724409449" top="0.3937007874015748" bottom="0.1968503937007874" header="1.0236220472440944" footer="0.5118110236220472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127"/>
  <sheetViews>
    <sheetView view="pageBreakPreview" zoomScale="90" zoomScaleSheetLayoutView="90" zoomScalePageLayoutView="0" workbookViewId="0" topLeftCell="A1">
      <pane xSplit="7" ySplit="3" topLeftCell="L9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105" sqref="G105"/>
    </sheetView>
  </sheetViews>
  <sheetFormatPr defaultColWidth="12.28125" defaultRowHeight="23.25"/>
  <cols>
    <col min="1" max="1" width="36.00390625" style="167" customWidth="1"/>
    <col min="2" max="2" width="4.7109375" style="167" customWidth="1"/>
    <col min="3" max="3" width="8.7109375" style="167" customWidth="1"/>
    <col min="4" max="4" width="10.7109375" style="167" customWidth="1"/>
    <col min="5" max="5" width="8.7109375" style="167" bestFit="1" customWidth="1"/>
    <col min="6" max="6" width="9.00390625" style="167" bestFit="1" customWidth="1"/>
    <col min="7" max="7" width="10.421875" style="167" customWidth="1"/>
    <col min="8" max="8" width="9.140625" style="167" customWidth="1"/>
    <col min="9" max="9" width="8.28125" style="167" customWidth="1"/>
    <col min="10" max="10" width="9.8515625" style="167" customWidth="1"/>
    <col min="11" max="11" width="9.28125" style="167" customWidth="1"/>
    <col min="12" max="12" width="8.8515625" style="167" customWidth="1"/>
    <col min="13" max="13" width="9.57421875" style="167" customWidth="1"/>
    <col min="14" max="14" width="9.421875" style="167" customWidth="1"/>
    <col min="15" max="15" width="9.57421875" style="167" customWidth="1"/>
    <col min="16" max="16" width="10.00390625" style="167" customWidth="1"/>
    <col min="17" max="17" width="9.00390625" style="167" customWidth="1"/>
    <col min="18" max="18" width="9.57421875" style="167" customWidth="1"/>
    <col min="19" max="19" width="8.8515625" style="167" customWidth="1"/>
    <col min="20" max="20" width="10.7109375" style="167" customWidth="1"/>
    <col min="21" max="21" width="10.57421875" style="167" customWidth="1"/>
    <col min="22" max="16384" width="12.28125" style="167" customWidth="1"/>
  </cols>
  <sheetData>
    <row r="1" spans="1:21" ht="21" customHeight="1">
      <c r="A1" s="658" t="s">
        <v>489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</row>
    <row r="2" spans="1:22" ht="21" customHeight="1">
      <c r="A2" s="659" t="s">
        <v>4</v>
      </c>
      <c r="B2" s="119"/>
      <c r="C2" s="715" t="s">
        <v>51</v>
      </c>
      <c r="D2" s="726"/>
      <c r="E2" s="120" t="s">
        <v>9</v>
      </c>
      <c r="F2" s="120" t="s">
        <v>9</v>
      </c>
      <c r="G2" s="120" t="s">
        <v>25</v>
      </c>
      <c r="H2" s="120" t="s">
        <v>26</v>
      </c>
      <c r="I2" s="120" t="s">
        <v>27</v>
      </c>
      <c r="J2" s="121" t="s">
        <v>28</v>
      </c>
      <c r="K2" s="120" t="s">
        <v>29</v>
      </c>
      <c r="L2" s="121" t="s">
        <v>30</v>
      </c>
      <c r="M2" s="120" t="s">
        <v>31</v>
      </c>
      <c r="N2" s="121" t="s">
        <v>32</v>
      </c>
      <c r="O2" s="120" t="s">
        <v>33</v>
      </c>
      <c r="P2" s="121" t="s">
        <v>34</v>
      </c>
      <c r="Q2" s="120" t="s">
        <v>35</v>
      </c>
      <c r="R2" s="121" t="s">
        <v>36</v>
      </c>
      <c r="S2" s="120" t="s">
        <v>37</v>
      </c>
      <c r="T2" s="121" t="s">
        <v>25</v>
      </c>
      <c r="U2" s="120" t="s">
        <v>6</v>
      </c>
      <c r="V2" s="142"/>
    </row>
    <row r="3" spans="1:22" ht="21" customHeight="1">
      <c r="A3" s="660"/>
      <c r="B3" s="92" t="s">
        <v>8</v>
      </c>
      <c r="C3" s="101" t="s">
        <v>9</v>
      </c>
      <c r="D3" s="94" t="s">
        <v>2</v>
      </c>
      <c r="E3" s="95" t="s">
        <v>10</v>
      </c>
      <c r="F3" s="95" t="s">
        <v>11</v>
      </c>
      <c r="G3" s="95"/>
      <c r="H3" s="182"/>
      <c r="I3" s="182"/>
      <c r="J3" s="172"/>
      <c r="K3" s="182"/>
      <c r="L3" s="172"/>
      <c r="M3" s="182"/>
      <c r="N3" s="172"/>
      <c r="O3" s="182"/>
      <c r="P3" s="172"/>
      <c r="Q3" s="182"/>
      <c r="R3" s="172"/>
      <c r="S3" s="182"/>
      <c r="T3" s="96"/>
      <c r="U3" s="95" t="s">
        <v>5</v>
      </c>
      <c r="V3" s="142"/>
    </row>
    <row r="4" spans="1:22" ht="21" customHeight="1">
      <c r="A4" s="7" t="s">
        <v>198</v>
      </c>
      <c r="B4" s="8"/>
      <c r="C4" s="716">
        <f>C7+C19+C50+D85</f>
        <v>3830540</v>
      </c>
      <c r="D4" s="717"/>
      <c r="E4" s="99"/>
      <c r="F4" s="95"/>
      <c r="G4" s="126"/>
      <c r="H4" s="189"/>
      <c r="I4" s="182"/>
      <c r="J4" s="172"/>
      <c r="K4" s="182"/>
      <c r="L4" s="172"/>
      <c r="M4" s="182"/>
      <c r="N4" s="172"/>
      <c r="O4" s="182"/>
      <c r="P4" s="172"/>
      <c r="Q4" s="182"/>
      <c r="R4" s="172"/>
      <c r="S4" s="182"/>
      <c r="T4" s="96"/>
      <c r="U4" s="95"/>
      <c r="V4" s="142"/>
    </row>
    <row r="5" spans="1:22" ht="21" customHeight="1">
      <c r="A5" s="7" t="s">
        <v>22</v>
      </c>
      <c r="B5" s="8"/>
      <c r="C5" s="716"/>
      <c r="D5" s="717"/>
      <c r="E5" s="13"/>
      <c r="F5" s="47"/>
      <c r="G5" s="146"/>
      <c r="H5" s="146"/>
      <c r="I5" s="47"/>
      <c r="J5" s="199"/>
      <c r="K5" s="47"/>
      <c r="L5" s="47"/>
      <c r="M5" s="47"/>
      <c r="N5" s="47"/>
      <c r="O5" s="47"/>
      <c r="P5" s="47"/>
      <c r="Q5" s="47"/>
      <c r="R5" s="47"/>
      <c r="S5" s="47"/>
      <c r="T5" s="14"/>
      <c r="U5" s="47"/>
      <c r="V5" s="142"/>
    </row>
    <row r="6" spans="1:22" ht="21" customHeight="1">
      <c r="A6" s="12" t="s">
        <v>12</v>
      </c>
      <c r="B6" s="8"/>
      <c r="C6" s="63"/>
      <c r="D6" s="62"/>
      <c r="E6" s="1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6"/>
      <c r="U6" s="22"/>
      <c r="V6" s="142"/>
    </row>
    <row r="7" spans="1:22" ht="21" customHeight="1">
      <c r="A7" s="7" t="s">
        <v>15</v>
      </c>
      <c r="B7" s="8"/>
      <c r="C7" s="708">
        <f>C8+C13</f>
        <v>627540</v>
      </c>
      <c r="D7" s="709"/>
      <c r="E7" s="1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6"/>
      <c r="U7" s="22"/>
      <c r="V7" s="142"/>
    </row>
    <row r="8" spans="1:22" ht="21" customHeight="1">
      <c r="A8" s="7" t="s">
        <v>56</v>
      </c>
      <c r="B8" s="279" t="s">
        <v>135</v>
      </c>
      <c r="C8" s="737">
        <f>D9+D10+D11</f>
        <v>627540</v>
      </c>
      <c r="D8" s="738"/>
      <c r="E8" s="1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0"/>
      <c r="U8" s="52"/>
      <c r="V8" s="142"/>
    </row>
    <row r="9" spans="1:22" ht="21" customHeight="1">
      <c r="A9" s="7" t="s">
        <v>61</v>
      </c>
      <c r="B9" s="279" t="s">
        <v>136</v>
      </c>
      <c r="C9" s="294" t="s">
        <v>212</v>
      </c>
      <c r="D9" s="52">
        <v>585540</v>
      </c>
      <c r="E9" s="37">
        <v>0</v>
      </c>
      <c r="F9" s="52"/>
      <c r="G9" s="52">
        <f>+D9+E9-F9</f>
        <v>585540</v>
      </c>
      <c r="H9" s="52">
        <v>47450</v>
      </c>
      <c r="I9" s="52">
        <v>47450</v>
      </c>
      <c r="J9" s="52">
        <v>47450</v>
      </c>
      <c r="K9" s="52">
        <v>47450</v>
      </c>
      <c r="L9" s="52">
        <v>47450</v>
      </c>
      <c r="M9" s="52">
        <v>47450</v>
      </c>
      <c r="N9" s="52">
        <v>48390</v>
      </c>
      <c r="O9" s="52">
        <v>48390</v>
      </c>
      <c r="P9" s="52">
        <v>48390</v>
      </c>
      <c r="Q9" s="52">
        <v>48390</v>
      </c>
      <c r="R9" s="52">
        <v>48390</v>
      </c>
      <c r="S9" s="52">
        <v>48390</v>
      </c>
      <c r="T9" s="135">
        <f>SUM(H9:S9)</f>
        <v>575040</v>
      </c>
      <c r="U9" s="179">
        <f>+G9-T9</f>
        <v>10500</v>
      </c>
      <c r="V9" s="256"/>
    </row>
    <row r="10" spans="1:22" ht="21" customHeight="1">
      <c r="A10" s="105" t="s">
        <v>58</v>
      </c>
      <c r="B10" s="279" t="s">
        <v>137</v>
      </c>
      <c r="C10" s="115"/>
      <c r="D10" s="52">
        <v>0</v>
      </c>
      <c r="E10" s="14"/>
      <c r="F10" s="52"/>
      <c r="G10" s="52">
        <f>+D10+E10-F10</f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135">
        <f>SUM(H10:S10)</f>
        <v>0</v>
      </c>
      <c r="U10" s="179">
        <f>+G10-T10</f>
        <v>0</v>
      </c>
      <c r="V10" s="142"/>
    </row>
    <row r="11" spans="1:22" ht="21" customHeight="1" thickBot="1">
      <c r="A11" s="105" t="s">
        <v>251</v>
      </c>
      <c r="B11" s="279" t="s">
        <v>138</v>
      </c>
      <c r="C11" s="8"/>
      <c r="D11" s="52">
        <v>42000</v>
      </c>
      <c r="E11" s="37"/>
      <c r="F11" s="52"/>
      <c r="G11" s="91">
        <f>+D11+E11-F11</f>
        <v>42000</v>
      </c>
      <c r="H11" s="52">
        <v>3500</v>
      </c>
      <c r="I11" s="52">
        <v>3500</v>
      </c>
      <c r="J11" s="52">
        <v>3500</v>
      </c>
      <c r="K11" s="52">
        <v>3500</v>
      </c>
      <c r="L11" s="52">
        <v>3500</v>
      </c>
      <c r="M11" s="52">
        <v>3500</v>
      </c>
      <c r="N11" s="52">
        <v>3500</v>
      </c>
      <c r="O11" s="52">
        <v>3500</v>
      </c>
      <c r="P11" s="52">
        <v>3500</v>
      </c>
      <c r="Q11" s="52">
        <v>3500</v>
      </c>
      <c r="R11" s="52">
        <v>3500</v>
      </c>
      <c r="S11" s="52">
        <v>3500</v>
      </c>
      <c r="T11" s="136">
        <f>SUM(H11:S11)</f>
        <v>42000</v>
      </c>
      <c r="U11" s="197">
        <f>+G11-T11</f>
        <v>0</v>
      </c>
      <c r="V11" s="142"/>
    </row>
    <row r="12" spans="1:22" ht="21" customHeight="1" thickBot="1" thickTop="1">
      <c r="A12" s="200"/>
      <c r="B12" s="48"/>
      <c r="C12" s="8"/>
      <c r="D12" s="143" t="s">
        <v>0</v>
      </c>
      <c r="E12" s="14"/>
      <c r="F12" s="52"/>
      <c r="G12" s="181">
        <f>SUM(G9:G11)</f>
        <v>627540</v>
      </c>
      <c r="H12" s="181">
        <f aca="true" t="shared" si="0" ref="H12:U12">SUM(H9:H11)</f>
        <v>50950</v>
      </c>
      <c r="I12" s="181">
        <f t="shared" si="0"/>
        <v>50950</v>
      </c>
      <c r="J12" s="181">
        <f t="shared" si="0"/>
        <v>50950</v>
      </c>
      <c r="K12" s="181">
        <f t="shared" si="0"/>
        <v>50950</v>
      </c>
      <c r="L12" s="181">
        <f t="shared" si="0"/>
        <v>50950</v>
      </c>
      <c r="M12" s="181">
        <f t="shared" si="0"/>
        <v>50950</v>
      </c>
      <c r="N12" s="181">
        <f t="shared" si="0"/>
        <v>51890</v>
      </c>
      <c r="O12" s="181">
        <f t="shared" si="0"/>
        <v>51890</v>
      </c>
      <c r="P12" s="181">
        <f t="shared" si="0"/>
        <v>51890</v>
      </c>
      <c r="Q12" s="181">
        <f t="shared" si="0"/>
        <v>51890</v>
      </c>
      <c r="R12" s="181">
        <f t="shared" si="0"/>
        <v>51890</v>
      </c>
      <c r="S12" s="181">
        <f t="shared" si="0"/>
        <v>51890</v>
      </c>
      <c r="T12" s="181">
        <f t="shared" si="0"/>
        <v>617040</v>
      </c>
      <c r="U12" s="181">
        <f t="shared" si="0"/>
        <v>10500</v>
      </c>
      <c r="V12" s="256"/>
    </row>
    <row r="13" spans="1:22" ht="21" customHeight="1" thickTop="1">
      <c r="A13" s="105" t="s">
        <v>18</v>
      </c>
      <c r="B13" s="279" t="s">
        <v>139</v>
      </c>
      <c r="C13" s="724">
        <f>+D15+D16</f>
        <v>0</v>
      </c>
      <c r="D13" s="725"/>
      <c r="E13" s="14"/>
      <c r="F13" s="52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195"/>
      <c r="U13" s="196"/>
      <c r="V13" s="142"/>
    </row>
    <row r="14" spans="1:22" ht="21" customHeight="1">
      <c r="A14" s="105" t="s">
        <v>59</v>
      </c>
      <c r="B14" s="279" t="s">
        <v>140</v>
      </c>
      <c r="C14" s="1"/>
      <c r="D14" s="143"/>
      <c r="E14" s="14"/>
      <c r="F14" s="52"/>
      <c r="G14" s="198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123"/>
      <c r="U14" s="179"/>
      <c r="V14" s="142"/>
    </row>
    <row r="15" spans="1:22" ht="21" customHeight="1">
      <c r="A15" s="144" t="s">
        <v>44</v>
      </c>
      <c r="B15" s="1"/>
      <c r="C15" s="1"/>
      <c r="D15" s="36">
        <v>0</v>
      </c>
      <c r="E15" s="206"/>
      <c r="F15" s="52"/>
      <c r="G15" s="52">
        <f>+D15+E15-F15</f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135">
        <f>SUM(H15:S15)</f>
        <v>0</v>
      </c>
      <c r="U15" s="179">
        <f>+G15-T15</f>
        <v>0</v>
      </c>
      <c r="V15" s="142"/>
    </row>
    <row r="16" spans="1:22" ht="21" customHeight="1" thickBot="1">
      <c r="A16" s="144" t="s">
        <v>45</v>
      </c>
      <c r="B16" s="1"/>
      <c r="C16" s="1"/>
      <c r="D16" s="52">
        <v>0</v>
      </c>
      <c r="E16" s="22"/>
      <c r="F16" s="52"/>
      <c r="G16" s="91">
        <f>+D16+E16-F16</f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136">
        <f>SUM(H16:S16)</f>
        <v>0</v>
      </c>
      <c r="U16" s="197">
        <f>+G16-T16</f>
        <v>0</v>
      </c>
      <c r="V16" s="142"/>
    </row>
    <row r="17" spans="1:22" ht="21" customHeight="1" thickBot="1" thickTop="1">
      <c r="A17" s="105"/>
      <c r="B17" s="1"/>
      <c r="C17" s="106"/>
      <c r="D17" s="201" t="s">
        <v>0</v>
      </c>
      <c r="E17" s="143"/>
      <c r="F17" s="52"/>
      <c r="G17" s="181">
        <f>SUM(G15:G16)</f>
        <v>0</v>
      </c>
      <c r="H17" s="181">
        <f>SUM(H15:H16)</f>
        <v>0</v>
      </c>
      <c r="I17" s="181">
        <f aca="true" t="shared" si="1" ref="I17:U17">SUM(I15:I16)</f>
        <v>0</v>
      </c>
      <c r="J17" s="181">
        <f t="shared" si="1"/>
        <v>0</v>
      </c>
      <c r="K17" s="181">
        <f>SUM(K15:K16)</f>
        <v>0</v>
      </c>
      <c r="L17" s="181">
        <f t="shared" si="1"/>
        <v>0</v>
      </c>
      <c r="M17" s="181">
        <f t="shared" si="1"/>
        <v>0</v>
      </c>
      <c r="N17" s="181">
        <f t="shared" si="1"/>
        <v>0</v>
      </c>
      <c r="O17" s="181">
        <f t="shared" si="1"/>
        <v>0</v>
      </c>
      <c r="P17" s="181">
        <f t="shared" si="1"/>
        <v>0</v>
      </c>
      <c r="Q17" s="181">
        <f t="shared" si="1"/>
        <v>0</v>
      </c>
      <c r="R17" s="181">
        <f t="shared" si="1"/>
        <v>0</v>
      </c>
      <c r="S17" s="181">
        <f t="shared" si="1"/>
        <v>0</v>
      </c>
      <c r="T17" s="181">
        <f t="shared" si="1"/>
        <v>0</v>
      </c>
      <c r="U17" s="181">
        <f t="shared" si="1"/>
        <v>0</v>
      </c>
      <c r="V17" s="142"/>
    </row>
    <row r="18" spans="1:22" ht="21" customHeight="1" thickTop="1">
      <c r="A18" s="105"/>
      <c r="B18" s="1"/>
      <c r="C18" s="1"/>
      <c r="D18" s="143"/>
      <c r="E18" s="143"/>
      <c r="F18" s="52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178"/>
      <c r="U18" s="178"/>
      <c r="V18" s="142"/>
    </row>
    <row r="19" spans="1:22" ht="21" customHeight="1">
      <c r="A19" s="105" t="s">
        <v>255</v>
      </c>
      <c r="B19" s="1"/>
      <c r="C19" s="724">
        <f>C20+C26+C43</f>
        <v>504000</v>
      </c>
      <c r="D19" s="725"/>
      <c r="E19" s="3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79"/>
      <c r="U19" s="179"/>
      <c r="V19" s="142"/>
    </row>
    <row r="20" spans="1:22" ht="21" customHeight="1">
      <c r="A20" s="105" t="s">
        <v>256</v>
      </c>
      <c r="B20" s="279" t="s">
        <v>141</v>
      </c>
      <c r="C20" s="731">
        <f>D21+D22</f>
        <v>124000</v>
      </c>
      <c r="D20" s="73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179"/>
      <c r="U20" s="179"/>
      <c r="V20" s="142"/>
    </row>
    <row r="21" spans="1:22" ht="21" customHeight="1">
      <c r="A21" s="194" t="s">
        <v>286</v>
      </c>
      <c r="B21" s="279" t="s">
        <v>145</v>
      </c>
      <c r="C21" s="1"/>
      <c r="D21" s="36">
        <v>84000</v>
      </c>
      <c r="E21" s="22"/>
      <c r="F21" s="52"/>
      <c r="G21" s="52">
        <f>+D21+E21-F21</f>
        <v>84000</v>
      </c>
      <c r="H21" s="52">
        <v>0</v>
      </c>
      <c r="I21" s="52">
        <f>3500+3000</f>
        <v>6500</v>
      </c>
      <c r="J21" s="52">
        <f>3500+3000</f>
        <v>6500</v>
      </c>
      <c r="K21" s="52">
        <f>6500</f>
        <v>6500</v>
      </c>
      <c r="L21" s="52">
        <v>6500</v>
      </c>
      <c r="M21" s="52">
        <v>6500</v>
      </c>
      <c r="N21" s="52">
        <v>6500</v>
      </c>
      <c r="O21" s="52">
        <v>6500</v>
      </c>
      <c r="P21" s="52">
        <v>6500</v>
      </c>
      <c r="Q21" s="52">
        <v>6500</v>
      </c>
      <c r="R21" s="52">
        <v>6500</v>
      </c>
      <c r="S21" s="52">
        <f>6500*2</f>
        <v>13000</v>
      </c>
      <c r="T21" s="179">
        <f>SUM(H21:S21)</f>
        <v>78000</v>
      </c>
      <c r="U21" s="179">
        <f>+G21-T21</f>
        <v>6000</v>
      </c>
      <c r="V21" s="256"/>
    </row>
    <row r="22" spans="1:22" ht="21" customHeight="1">
      <c r="A22" s="160" t="s">
        <v>287</v>
      </c>
      <c r="B22" s="279" t="s">
        <v>146</v>
      </c>
      <c r="C22" s="1"/>
      <c r="D22" s="36">
        <v>40000</v>
      </c>
      <c r="E22" s="22"/>
      <c r="F22" s="52"/>
      <c r="G22" s="52">
        <f>+D22+E22-F22</f>
        <v>40000</v>
      </c>
      <c r="H22" s="52">
        <v>0</v>
      </c>
      <c r="I22" s="52">
        <v>0</v>
      </c>
      <c r="J22" s="52">
        <v>9080</v>
      </c>
      <c r="K22" s="52">
        <f>4800+4000</f>
        <v>8800</v>
      </c>
      <c r="L22" s="52">
        <v>0</v>
      </c>
      <c r="M22" s="52">
        <v>0</v>
      </c>
      <c r="N22" s="52">
        <v>0</v>
      </c>
      <c r="O22" s="52">
        <v>0</v>
      </c>
      <c r="P22" s="52">
        <v>2335</v>
      </c>
      <c r="Q22" s="52">
        <v>0</v>
      </c>
      <c r="R22" s="52">
        <v>0</v>
      </c>
      <c r="S22" s="52">
        <v>0</v>
      </c>
      <c r="T22" s="179">
        <f>SUM(H22:S22)</f>
        <v>20215</v>
      </c>
      <c r="U22" s="179">
        <f>+G22-T22</f>
        <v>19785</v>
      </c>
      <c r="V22" s="142"/>
    </row>
    <row r="23" spans="1:22" ht="21" customHeight="1">
      <c r="A23" s="160" t="s">
        <v>288</v>
      </c>
      <c r="B23" s="279" t="s">
        <v>147</v>
      </c>
      <c r="C23" s="1"/>
      <c r="D23" s="36">
        <v>0</v>
      </c>
      <c r="E23" s="22"/>
      <c r="F23" s="52"/>
      <c r="G23" s="52">
        <f>+D23+E23-F23</f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196">
        <f>SUM(H23:S23)</f>
        <v>0</v>
      </c>
      <c r="U23" s="196">
        <f>+G23-T23</f>
        <v>0</v>
      </c>
      <c r="V23" s="142"/>
    </row>
    <row r="24" spans="1:22" ht="21" customHeight="1" thickBot="1">
      <c r="A24" s="194"/>
      <c r="B24" s="1"/>
      <c r="C24" s="202"/>
      <c r="D24" s="36"/>
      <c r="E24" s="22"/>
      <c r="F24" s="52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97"/>
      <c r="U24" s="197"/>
      <c r="V24" s="142"/>
    </row>
    <row r="25" spans="1:22" ht="21" customHeight="1" thickBot="1" thickTop="1">
      <c r="A25" s="105"/>
      <c r="B25" s="1"/>
      <c r="C25" s="1"/>
      <c r="D25" s="143" t="s">
        <v>0</v>
      </c>
      <c r="E25" s="143"/>
      <c r="F25" s="52"/>
      <c r="G25" s="181">
        <f aca="true" t="shared" si="2" ref="G25:U25">SUM(G21:G24)</f>
        <v>124000</v>
      </c>
      <c r="H25" s="181">
        <f t="shared" si="2"/>
        <v>0</v>
      </c>
      <c r="I25" s="181">
        <f t="shared" si="2"/>
        <v>6500</v>
      </c>
      <c r="J25" s="181">
        <f t="shared" si="2"/>
        <v>15580</v>
      </c>
      <c r="K25" s="181">
        <f t="shared" si="2"/>
        <v>15300</v>
      </c>
      <c r="L25" s="181">
        <f t="shared" si="2"/>
        <v>6500</v>
      </c>
      <c r="M25" s="181">
        <f t="shared" si="2"/>
        <v>6500</v>
      </c>
      <c r="N25" s="181">
        <f t="shared" si="2"/>
        <v>6500</v>
      </c>
      <c r="O25" s="181">
        <f t="shared" si="2"/>
        <v>6500</v>
      </c>
      <c r="P25" s="181">
        <f t="shared" si="2"/>
        <v>8835</v>
      </c>
      <c r="Q25" s="181">
        <f t="shared" si="2"/>
        <v>6500</v>
      </c>
      <c r="R25" s="181">
        <f t="shared" si="2"/>
        <v>6500</v>
      </c>
      <c r="S25" s="181">
        <f t="shared" si="2"/>
        <v>13000</v>
      </c>
      <c r="T25" s="181">
        <f t="shared" si="2"/>
        <v>98215</v>
      </c>
      <c r="U25" s="181">
        <f t="shared" si="2"/>
        <v>25785</v>
      </c>
      <c r="V25" s="142"/>
    </row>
    <row r="26" spans="1:22" ht="21" customHeight="1" thickTop="1">
      <c r="A26" s="105" t="s">
        <v>23</v>
      </c>
      <c r="B26" s="1"/>
      <c r="C26" s="733">
        <f>C27+C30+C40</f>
        <v>190000</v>
      </c>
      <c r="D26" s="734"/>
      <c r="E26" s="143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0"/>
      <c r="U26" s="52"/>
      <c r="V26" s="142"/>
    </row>
    <row r="27" spans="1:22" ht="21" customHeight="1">
      <c r="A27" s="105" t="s">
        <v>80</v>
      </c>
      <c r="B27" s="279" t="s">
        <v>149</v>
      </c>
      <c r="C27" s="727">
        <f>D28+D29</f>
        <v>120000</v>
      </c>
      <c r="D27" s="728"/>
      <c r="E27" s="143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0"/>
      <c r="U27" s="52"/>
      <c r="V27" s="142"/>
    </row>
    <row r="28" spans="1:22" ht="21" customHeight="1">
      <c r="A28" s="144" t="s">
        <v>81</v>
      </c>
      <c r="B28" s="1"/>
      <c r="C28" s="50"/>
      <c r="D28" s="162">
        <v>20000</v>
      </c>
      <c r="E28" s="143">
        <v>0</v>
      </c>
      <c r="F28" s="52"/>
      <c r="G28" s="52">
        <f>+D28+E28-F28</f>
        <v>20000</v>
      </c>
      <c r="H28" s="52">
        <v>3900</v>
      </c>
      <c r="I28" s="52">
        <v>0</v>
      </c>
      <c r="J28" s="52">
        <v>0</v>
      </c>
      <c r="K28" s="52">
        <v>0</v>
      </c>
      <c r="L28" s="52">
        <f>3900+4500</f>
        <v>8400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3900</v>
      </c>
      <c r="S28" s="52">
        <v>0</v>
      </c>
      <c r="T28" s="135">
        <f>SUM(H28:S28)</f>
        <v>16200</v>
      </c>
      <c r="U28" s="135">
        <f>+G28-T28</f>
        <v>3800</v>
      </c>
      <c r="V28" s="256"/>
    </row>
    <row r="29" spans="1:23" ht="21" customHeight="1">
      <c r="A29" s="144" t="s">
        <v>289</v>
      </c>
      <c r="B29" s="1"/>
      <c r="C29" s="50"/>
      <c r="D29" s="162">
        <v>100000</v>
      </c>
      <c r="E29" s="143">
        <v>0</v>
      </c>
      <c r="F29" s="52"/>
      <c r="G29" s="52">
        <f>+D29+E29-F29</f>
        <v>100000</v>
      </c>
      <c r="H29" s="52">
        <v>0</v>
      </c>
      <c r="I29" s="52">
        <v>0</v>
      </c>
      <c r="J29" s="52">
        <v>6000</v>
      </c>
      <c r="K29" s="52">
        <v>9700</v>
      </c>
      <c r="L29" s="52">
        <v>0</v>
      </c>
      <c r="M29" s="52">
        <v>0</v>
      </c>
      <c r="N29" s="52">
        <v>0</v>
      </c>
      <c r="O29" s="52">
        <v>0</v>
      </c>
      <c r="P29" s="52">
        <v>10000</v>
      </c>
      <c r="Q29" s="52">
        <v>0</v>
      </c>
      <c r="R29" s="52">
        <f>2325+48000</f>
        <v>50325</v>
      </c>
      <c r="S29" s="52">
        <v>22000</v>
      </c>
      <c r="T29" s="135">
        <f>SUM(H29:S29)</f>
        <v>98025</v>
      </c>
      <c r="U29" s="135">
        <f>+G29-T29</f>
        <v>1975</v>
      </c>
      <c r="V29" s="256"/>
      <c r="W29" s="278"/>
    </row>
    <row r="30" spans="1:22" ht="21" customHeight="1">
      <c r="A30" s="105" t="s">
        <v>82</v>
      </c>
      <c r="B30" s="279" t="s">
        <v>155</v>
      </c>
      <c r="C30" s="735">
        <f>D32</f>
        <v>20000</v>
      </c>
      <c r="D30" s="736"/>
      <c r="E30" s="143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0"/>
      <c r="U30" s="135"/>
      <c r="V30" s="256"/>
    </row>
    <row r="31" spans="1:22" ht="21" customHeight="1">
      <c r="A31" s="144" t="s">
        <v>64</v>
      </c>
      <c r="B31" s="1"/>
      <c r="C31" s="1"/>
      <c r="E31" s="143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0"/>
      <c r="U31" s="135"/>
      <c r="V31" s="256"/>
    </row>
    <row r="32" spans="1:22" ht="21" customHeight="1">
      <c r="A32" s="144" t="s">
        <v>65</v>
      </c>
      <c r="B32" s="1"/>
      <c r="C32" s="117"/>
      <c r="D32" s="36">
        <v>20000</v>
      </c>
      <c r="E32" s="143"/>
      <c r="F32" s="52">
        <v>0</v>
      </c>
      <c r="G32" s="52">
        <f>+D32+E32-F32</f>
        <v>20000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4902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135">
        <f>SUM(H32:S32)</f>
        <v>4902</v>
      </c>
      <c r="U32" s="135">
        <f>+G32-T32</f>
        <v>15098</v>
      </c>
      <c r="V32" s="256"/>
    </row>
    <row r="33" spans="1:22" ht="21" customHeight="1">
      <c r="A33" s="144"/>
      <c r="B33" s="1"/>
      <c r="C33" s="1"/>
      <c r="D33" s="36"/>
      <c r="E33" s="143"/>
      <c r="F33" s="52"/>
      <c r="G33" s="52">
        <f>+D33+E33-F33</f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135">
        <f>SUM(H33:S33)</f>
        <v>0</v>
      </c>
      <c r="U33" s="135">
        <f>+G33-T33</f>
        <v>0</v>
      </c>
      <c r="V33" s="256"/>
    </row>
    <row r="34" spans="1:22" ht="21" customHeight="1">
      <c r="A34" s="68"/>
      <c r="B34" s="141"/>
      <c r="C34" s="141"/>
      <c r="D34" s="118"/>
      <c r="E34" s="309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37"/>
      <c r="U34" s="137"/>
      <c r="V34" s="256"/>
    </row>
    <row r="35" spans="1:22" ht="21" customHeight="1">
      <c r="A35" s="68"/>
      <c r="B35" s="141"/>
      <c r="C35" s="141"/>
      <c r="D35" s="118"/>
      <c r="E35" s="309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37"/>
      <c r="U35" s="137"/>
      <c r="V35" s="142"/>
    </row>
    <row r="36" spans="1:22" ht="21" customHeight="1">
      <c r="A36" s="720" t="s">
        <v>20</v>
      </c>
      <c r="B36" s="720"/>
      <c r="C36" s="72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142"/>
    </row>
    <row r="37" spans="1:22" ht="21" customHeight="1">
      <c r="A37" s="658" t="s">
        <v>489</v>
      </c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142"/>
    </row>
    <row r="38" spans="1:22" ht="21" customHeight="1">
      <c r="A38" s="659" t="s">
        <v>4</v>
      </c>
      <c r="B38" s="119"/>
      <c r="C38" s="715" t="s">
        <v>51</v>
      </c>
      <c r="D38" s="726"/>
      <c r="E38" s="120" t="s">
        <v>9</v>
      </c>
      <c r="F38" s="120" t="s">
        <v>9</v>
      </c>
      <c r="G38" s="120" t="s">
        <v>25</v>
      </c>
      <c r="H38" s="120" t="s">
        <v>26</v>
      </c>
      <c r="I38" s="120" t="s">
        <v>27</v>
      </c>
      <c r="J38" s="121" t="s">
        <v>28</v>
      </c>
      <c r="K38" s="120" t="s">
        <v>29</v>
      </c>
      <c r="L38" s="121" t="s">
        <v>30</v>
      </c>
      <c r="M38" s="120" t="s">
        <v>31</v>
      </c>
      <c r="N38" s="121" t="s">
        <v>32</v>
      </c>
      <c r="O38" s="120" t="s">
        <v>33</v>
      </c>
      <c r="P38" s="121" t="s">
        <v>34</v>
      </c>
      <c r="Q38" s="120" t="s">
        <v>35</v>
      </c>
      <c r="R38" s="121" t="s">
        <v>36</v>
      </c>
      <c r="S38" s="120" t="s">
        <v>37</v>
      </c>
      <c r="T38" s="121" t="s">
        <v>25</v>
      </c>
      <c r="U38" s="120" t="s">
        <v>6</v>
      </c>
      <c r="V38" s="142"/>
    </row>
    <row r="39" spans="1:22" ht="21" customHeight="1">
      <c r="A39" s="660"/>
      <c r="B39" s="92" t="s">
        <v>8</v>
      </c>
      <c r="C39" s="101" t="s">
        <v>9</v>
      </c>
      <c r="D39" s="94" t="s">
        <v>2</v>
      </c>
      <c r="E39" s="95" t="s">
        <v>10</v>
      </c>
      <c r="F39" s="95" t="s">
        <v>11</v>
      </c>
      <c r="G39" s="95"/>
      <c r="H39" s="182"/>
      <c r="I39" s="182"/>
      <c r="J39" s="172"/>
      <c r="K39" s="182"/>
      <c r="L39" s="172"/>
      <c r="M39" s="182"/>
      <c r="N39" s="172"/>
      <c r="O39" s="182"/>
      <c r="P39" s="172"/>
      <c r="Q39" s="182"/>
      <c r="R39" s="172"/>
      <c r="S39" s="182"/>
      <c r="T39" s="96"/>
      <c r="U39" s="95" t="s">
        <v>5</v>
      </c>
      <c r="V39" s="142"/>
    </row>
    <row r="40" spans="1:22" ht="21" customHeight="1">
      <c r="A40" s="105" t="s">
        <v>83</v>
      </c>
      <c r="B40" s="279" t="s">
        <v>160</v>
      </c>
      <c r="C40" s="727">
        <f>D41</f>
        <v>50000</v>
      </c>
      <c r="D40" s="728"/>
      <c r="E40" s="143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0"/>
      <c r="U40" s="135"/>
      <c r="V40" s="142"/>
    </row>
    <row r="41" spans="1:22" ht="21" customHeight="1">
      <c r="A41" s="144" t="s">
        <v>196</v>
      </c>
      <c r="B41" s="1"/>
      <c r="C41" s="50"/>
      <c r="D41" s="203">
        <v>50000</v>
      </c>
      <c r="E41" s="143"/>
      <c r="F41" s="52">
        <v>0</v>
      </c>
      <c r="G41" s="52">
        <f>+D41+E41-F41</f>
        <v>50000</v>
      </c>
      <c r="H41" s="52">
        <v>0</v>
      </c>
      <c r="I41" s="52">
        <v>1000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500</v>
      </c>
      <c r="P41" s="52">
        <v>0</v>
      </c>
      <c r="Q41" s="52">
        <v>0</v>
      </c>
      <c r="R41" s="52">
        <v>1900</v>
      </c>
      <c r="S41" s="52">
        <v>0</v>
      </c>
      <c r="T41" s="135">
        <f>SUM(H41:S41)</f>
        <v>3400</v>
      </c>
      <c r="U41" s="135">
        <f>+G41-T41</f>
        <v>46600</v>
      </c>
      <c r="V41" s="142"/>
    </row>
    <row r="42" spans="1:22" ht="21" customHeight="1" thickBot="1">
      <c r="A42" s="105"/>
      <c r="B42" s="1"/>
      <c r="C42" s="106"/>
      <c r="D42" s="201" t="s">
        <v>0</v>
      </c>
      <c r="E42" s="143"/>
      <c r="F42" s="52"/>
      <c r="G42" s="136">
        <f aca="true" t="shared" si="3" ref="G42:U42">SUM(G27:G41)</f>
        <v>190000</v>
      </c>
      <c r="H42" s="136">
        <f t="shared" si="3"/>
        <v>3900</v>
      </c>
      <c r="I42" s="136">
        <f t="shared" si="3"/>
        <v>1000</v>
      </c>
      <c r="J42" s="136">
        <f t="shared" si="3"/>
        <v>6000</v>
      </c>
      <c r="K42" s="136">
        <f t="shared" si="3"/>
        <v>9700</v>
      </c>
      <c r="L42" s="136">
        <f t="shared" si="3"/>
        <v>8400</v>
      </c>
      <c r="M42" s="136">
        <f t="shared" si="3"/>
        <v>4902</v>
      </c>
      <c r="N42" s="136">
        <f t="shared" si="3"/>
        <v>0</v>
      </c>
      <c r="O42" s="136">
        <f t="shared" si="3"/>
        <v>500</v>
      </c>
      <c r="P42" s="136">
        <f t="shared" si="3"/>
        <v>10000</v>
      </c>
      <c r="Q42" s="136">
        <f t="shared" si="3"/>
        <v>0</v>
      </c>
      <c r="R42" s="136">
        <f t="shared" si="3"/>
        <v>56125</v>
      </c>
      <c r="S42" s="136">
        <f>SUM(S27:S41)</f>
        <v>22000</v>
      </c>
      <c r="T42" s="136">
        <f t="shared" si="3"/>
        <v>122527</v>
      </c>
      <c r="U42" s="136">
        <f t="shared" si="3"/>
        <v>67473</v>
      </c>
      <c r="V42" s="256"/>
    </row>
    <row r="43" spans="1:22" ht="21" customHeight="1" thickTop="1">
      <c r="A43" s="105" t="s">
        <v>257</v>
      </c>
      <c r="B43" s="279" t="s">
        <v>162</v>
      </c>
      <c r="C43" s="724">
        <f>D44+D45+D46+D47</f>
        <v>190000</v>
      </c>
      <c r="D43" s="725"/>
      <c r="E43" s="143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151"/>
      <c r="U43" s="150"/>
      <c r="V43" s="142"/>
    </row>
    <row r="44" spans="1:22" ht="21" customHeight="1">
      <c r="A44" s="105" t="s">
        <v>258</v>
      </c>
      <c r="B44" s="279" t="s">
        <v>163</v>
      </c>
      <c r="C44" s="50"/>
      <c r="D44" s="36">
        <v>30000</v>
      </c>
      <c r="E44" s="36"/>
      <c r="F44" s="52">
        <v>0</v>
      </c>
      <c r="G44" s="52">
        <f>+D44+E44-F44</f>
        <v>30000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1665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25555</v>
      </c>
      <c r="T44" s="135">
        <f>SUM(H44:S44)</f>
        <v>27220</v>
      </c>
      <c r="U44" s="135">
        <f>+G44-T44</f>
        <v>2780</v>
      </c>
      <c r="V44" s="142"/>
    </row>
    <row r="45" spans="1:22" ht="21" customHeight="1">
      <c r="A45" s="105" t="s">
        <v>259</v>
      </c>
      <c r="B45" s="279" t="s">
        <v>197</v>
      </c>
      <c r="C45" s="50"/>
      <c r="D45" s="36">
        <v>50000</v>
      </c>
      <c r="E45" s="143"/>
      <c r="F45" s="206">
        <v>0</v>
      </c>
      <c r="G45" s="52">
        <f>+D45+E45-F45</f>
        <v>50000</v>
      </c>
      <c r="H45" s="283">
        <v>0</v>
      </c>
      <c r="I45" s="283">
        <v>0</v>
      </c>
      <c r="J45" s="283">
        <v>0</v>
      </c>
      <c r="K45" s="283">
        <v>0</v>
      </c>
      <c r="L45" s="283">
        <v>0</v>
      </c>
      <c r="M45" s="283">
        <v>0</v>
      </c>
      <c r="N45" s="283">
        <v>0</v>
      </c>
      <c r="O45" s="283">
        <v>1090</v>
      </c>
      <c r="P45" s="283">
        <v>0</v>
      </c>
      <c r="Q45" s="283">
        <v>0</v>
      </c>
      <c r="R45" s="283">
        <v>1250</v>
      </c>
      <c r="S45" s="283">
        <v>1210</v>
      </c>
      <c r="T45" s="135">
        <f>SUM(H45:S45)</f>
        <v>3550</v>
      </c>
      <c r="U45" s="135">
        <f>+G45-T45</f>
        <v>46450</v>
      </c>
      <c r="V45" s="142"/>
    </row>
    <row r="46" spans="1:22" ht="21" customHeight="1">
      <c r="A46" s="105" t="s">
        <v>260</v>
      </c>
      <c r="B46" s="279" t="s">
        <v>168</v>
      </c>
      <c r="C46" s="50"/>
      <c r="D46" s="36">
        <v>30000</v>
      </c>
      <c r="E46" s="143"/>
      <c r="F46" s="22">
        <v>0</v>
      </c>
      <c r="G46" s="52">
        <f>+D46+E46-F46</f>
        <v>30000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/>
      <c r="N46" s="22">
        <v>6780</v>
      </c>
      <c r="O46" s="22">
        <v>0</v>
      </c>
      <c r="P46" s="22">
        <v>0</v>
      </c>
      <c r="Q46" s="22">
        <v>0</v>
      </c>
      <c r="R46" s="22">
        <v>0</v>
      </c>
      <c r="S46" s="22">
        <v>9660</v>
      </c>
      <c r="T46" s="135">
        <f>SUM(H46:S46)</f>
        <v>16440</v>
      </c>
      <c r="U46" s="135">
        <f>+G46-T46</f>
        <v>13560</v>
      </c>
      <c r="V46" s="142"/>
    </row>
    <row r="47" spans="1:22" ht="21" customHeight="1">
      <c r="A47" s="105" t="s">
        <v>261</v>
      </c>
      <c r="B47" s="279" t="s">
        <v>181</v>
      </c>
      <c r="C47" s="132"/>
      <c r="D47" s="154">
        <v>80000</v>
      </c>
      <c r="E47" s="204"/>
      <c r="F47" s="89"/>
      <c r="G47" s="52">
        <f>+D47+E47-F47</f>
        <v>80000</v>
      </c>
      <c r="H47" s="184">
        <v>5400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9000</v>
      </c>
      <c r="O47" s="184">
        <v>3900</v>
      </c>
      <c r="P47" s="184">
        <v>31397.2</v>
      </c>
      <c r="Q47" s="184">
        <v>27000</v>
      </c>
      <c r="R47" s="184">
        <v>0</v>
      </c>
      <c r="S47" s="184">
        <v>0</v>
      </c>
      <c r="T47" s="135">
        <f>SUM(H47:S47)</f>
        <v>76697.2</v>
      </c>
      <c r="U47" s="135">
        <f>+G47-T47</f>
        <v>3302.800000000003</v>
      </c>
      <c r="V47" s="142"/>
    </row>
    <row r="48" spans="1:22" ht="21" customHeight="1" thickBot="1">
      <c r="A48" s="105"/>
      <c r="B48" s="1"/>
      <c r="C48" s="1"/>
      <c r="D48" s="154" t="s">
        <v>0</v>
      </c>
      <c r="E48" s="36"/>
      <c r="F48" s="52"/>
      <c r="G48" s="136">
        <f>SUM(G44:G47)</f>
        <v>190000</v>
      </c>
      <c r="H48" s="136">
        <f aca="true" t="shared" si="4" ref="H48:U48">SUM(H44:H47)</f>
        <v>5400</v>
      </c>
      <c r="I48" s="136">
        <f t="shared" si="4"/>
        <v>0</v>
      </c>
      <c r="J48" s="136">
        <f t="shared" si="4"/>
        <v>0</v>
      </c>
      <c r="K48" s="136">
        <f t="shared" si="4"/>
        <v>0</v>
      </c>
      <c r="L48" s="136">
        <f t="shared" si="4"/>
        <v>0</v>
      </c>
      <c r="M48" s="136">
        <f t="shared" si="4"/>
        <v>1665</v>
      </c>
      <c r="N48" s="136">
        <f t="shared" si="4"/>
        <v>15780</v>
      </c>
      <c r="O48" s="136">
        <f t="shared" si="4"/>
        <v>4990</v>
      </c>
      <c r="P48" s="136">
        <f t="shared" si="4"/>
        <v>31397.2</v>
      </c>
      <c r="Q48" s="136">
        <f t="shared" si="4"/>
        <v>27000</v>
      </c>
      <c r="R48" s="136">
        <f t="shared" si="4"/>
        <v>1250</v>
      </c>
      <c r="S48" s="136">
        <f t="shared" si="4"/>
        <v>36425</v>
      </c>
      <c r="T48" s="136">
        <f t="shared" si="4"/>
        <v>123907.2</v>
      </c>
      <c r="U48" s="136">
        <f t="shared" si="4"/>
        <v>66092.8</v>
      </c>
      <c r="V48" s="256"/>
    </row>
    <row r="49" spans="1:22" ht="21" customHeight="1" thickTop="1">
      <c r="A49" s="105" t="s">
        <v>262</v>
      </c>
      <c r="B49" s="1"/>
      <c r="C49" s="724"/>
      <c r="D49" s="725"/>
      <c r="E49" s="36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35"/>
      <c r="V49" s="142"/>
    </row>
    <row r="50" spans="1:22" ht="21" customHeight="1">
      <c r="A50" s="105" t="s">
        <v>263</v>
      </c>
      <c r="B50" s="1"/>
      <c r="C50" s="729">
        <f>C51+D61</f>
        <v>2699000</v>
      </c>
      <c r="D50" s="730"/>
      <c r="E50" s="36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35"/>
      <c r="V50" s="142"/>
    </row>
    <row r="51" spans="1:22" ht="21" customHeight="1">
      <c r="A51" s="105" t="s">
        <v>264</v>
      </c>
      <c r="B51" s="279" t="s">
        <v>177</v>
      </c>
      <c r="C51" s="727">
        <f>D53+D57</f>
        <v>9000</v>
      </c>
      <c r="D51" s="728"/>
      <c r="E51" s="36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135"/>
      <c r="V51" s="142"/>
    </row>
    <row r="52" spans="1:22" ht="21" customHeight="1">
      <c r="A52" s="105" t="s">
        <v>429</v>
      </c>
      <c r="B52" s="279"/>
      <c r="C52" s="353"/>
      <c r="D52" s="162"/>
      <c r="E52" s="36"/>
      <c r="F52" s="52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135"/>
      <c r="U52" s="173"/>
      <c r="V52" s="142"/>
    </row>
    <row r="53" spans="1:22" s="460" customFormat="1" ht="21" customHeight="1">
      <c r="A53" s="449" t="s">
        <v>428</v>
      </c>
      <c r="B53" s="465"/>
      <c r="C53" s="472"/>
      <c r="D53" s="473">
        <v>9000</v>
      </c>
      <c r="E53" s="458">
        <v>0</v>
      </c>
      <c r="F53" s="459">
        <v>0</v>
      </c>
      <c r="G53" s="474">
        <f>+D53+E53-F53</f>
        <v>9000</v>
      </c>
      <c r="H53" s="474">
        <v>0</v>
      </c>
      <c r="I53" s="474">
        <v>0</v>
      </c>
      <c r="J53" s="474">
        <v>0</v>
      </c>
      <c r="K53" s="474">
        <v>0</v>
      </c>
      <c r="L53" s="474">
        <v>0</v>
      </c>
      <c r="M53" s="474">
        <v>0</v>
      </c>
      <c r="N53" s="474">
        <v>0</v>
      </c>
      <c r="O53" s="474">
        <v>0</v>
      </c>
      <c r="P53" s="474">
        <v>0</v>
      </c>
      <c r="Q53" s="474">
        <v>0</v>
      </c>
      <c r="R53" s="474">
        <v>0</v>
      </c>
      <c r="S53" s="474">
        <v>0</v>
      </c>
      <c r="T53" s="447">
        <f>SUM(H53:S53)</f>
        <v>0</v>
      </c>
      <c r="U53" s="475">
        <f>+G53-T53</f>
        <v>9000</v>
      </c>
      <c r="V53" s="476"/>
    </row>
    <row r="54" spans="1:22" ht="21" customHeight="1">
      <c r="A54" s="105" t="s">
        <v>310</v>
      </c>
      <c r="B54" s="279"/>
      <c r="C54" s="439"/>
      <c r="D54" s="193"/>
      <c r="E54" s="36"/>
      <c r="F54" s="52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135"/>
      <c r="U54" s="173"/>
      <c r="V54" s="142"/>
    </row>
    <row r="55" spans="1:22" ht="21" customHeight="1">
      <c r="A55" s="10" t="s">
        <v>359</v>
      </c>
      <c r="B55" s="1"/>
      <c r="C55" s="50"/>
      <c r="D55" s="162">
        <v>7900</v>
      </c>
      <c r="E55" s="36">
        <v>0</v>
      </c>
      <c r="F55" s="52"/>
      <c r="G55" s="89">
        <f>+D55+E55-F55</f>
        <v>7900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7900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135">
        <f>SUM(H55:S55)</f>
        <v>7900</v>
      </c>
      <c r="U55" s="173">
        <f>+G55-T55</f>
        <v>0</v>
      </c>
      <c r="V55" s="142"/>
    </row>
    <row r="56" spans="1:22" ht="21" customHeight="1">
      <c r="A56" s="10" t="s">
        <v>430</v>
      </c>
      <c r="B56" s="1"/>
      <c r="C56" s="50"/>
      <c r="D56" s="162">
        <v>2800</v>
      </c>
      <c r="E56" s="36">
        <v>0</v>
      </c>
      <c r="F56" s="52">
        <v>0</v>
      </c>
      <c r="G56" s="89">
        <f>+D56+E56-F56</f>
        <v>2800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2800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135">
        <f>SUM(H56:S56)</f>
        <v>2800</v>
      </c>
      <c r="U56" s="173">
        <f>G56-T56</f>
        <v>0</v>
      </c>
      <c r="V56" s="142"/>
    </row>
    <row r="57" spans="1:22" ht="22.5" customHeight="1">
      <c r="A57" s="105" t="s">
        <v>447</v>
      </c>
      <c r="B57" s="1"/>
      <c r="C57" s="50"/>
      <c r="D57" s="162"/>
      <c r="E57" s="36"/>
      <c r="F57" s="52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135"/>
      <c r="U57" s="173"/>
      <c r="V57" s="142"/>
    </row>
    <row r="58" spans="1:22" s="460" customFormat="1" ht="22.5" customHeight="1">
      <c r="A58" s="449" t="s">
        <v>448</v>
      </c>
      <c r="B58" s="465"/>
      <c r="C58" s="472"/>
      <c r="D58" s="473">
        <v>150000</v>
      </c>
      <c r="E58" s="458">
        <v>0</v>
      </c>
      <c r="F58" s="459">
        <v>0</v>
      </c>
      <c r="G58" s="474">
        <f>+D58+E58-F58</f>
        <v>150000</v>
      </c>
      <c r="H58" s="474">
        <v>0</v>
      </c>
      <c r="I58" s="474">
        <v>0</v>
      </c>
      <c r="J58" s="474">
        <v>0</v>
      </c>
      <c r="K58" s="474">
        <v>0</v>
      </c>
      <c r="L58" s="474">
        <v>0</v>
      </c>
      <c r="M58" s="474">
        <v>0</v>
      </c>
      <c r="N58" s="474">
        <v>0</v>
      </c>
      <c r="O58" s="474">
        <v>0</v>
      </c>
      <c r="P58" s="474">
        <v>125000</v>
      </c>
      <c r="Q58" s="474">
        <v>0</v>
      </c>
      <c r="R58" s="474">
        <v>25000</v>
      </c>
      <c r="S58" s="474">
        <v>0</v>
      </c>
      <c r="T58" s="447">
        <f>SUM(H58:S58)</f>
        <v>150000</v>
      </c>
      <c r="U58" s="475">
        <f>G58-T58</f>
        <v>0</v>
      </c>
      <c r="V58" s="476"/>
    </row>
    <row r="59" spans="1:22" s="460" customFormat="1" ht="22.5" customHeight="1">
      <c r="A59" s="449" t="s">
        <v>449</v>
      </c>
      <c r="B59" s="465"/>
      <c r="C59" s="472"/>
      <c r="D59" s="473">
        <v>150000</v>
      </c>
      <c r="E59" s="458">
        <v>0</v>
      </c>
      <c r="F59" s="459"/>
      <c r="G59" s="474">
        <f>+D59+E59-F59</f>
        <v>150000</v>
      </c>
      <c r="H59" s="474">
        <v>0</v>
      </c>
      <c r="I59" s="474">
        <v>0</v>
      </c>
      <c r="J59" s="474">
        <v>0</v>
      </c>
      <c r="K59" s="474">
        <v>0</v>
      </c>
      <c r="L59" s="474">
        <v>0</v>
      </c>
      <c r="M59" s="474">
        <v>0</v>
      </c>
      <c r="N59" s="474">
        <v>0</v>
      </c>
      <c r="O59" s="474">
        <v>0</v>
      </c>
      <c r="P59" s="474">
        <v>125000</v>
      </c>
      <c r="Q59" s="474">
        <v>0</v>
      </c>
      <c r="R59" s="474">
        <v>25000</v>
      </c>
      <c r="S59" s="474">
        <v>0</v>
      </c>
      <c r="T59" s="447">
        <f>SUM(H59:S59)</f>
        <v>150000</v>
      </c>
      <c r="U59" s="475">
        <f>+G59-T59</f>
        <v>0</v>
      </c>
      <c r="V59" s="476"/>
    </row>
    <row r="60" spans="1:22" ht="21" customHeight="1" thickBot="1">
      <c r="A60" s="105"/>
      <c r="B60" s="1"/>
      <c r="C60" s="1"/>
      <c r="D60" s="193" t="s">
        <v>0</v>
      </c>
      <c r="E60" s="36"/>
      <c r="F60" s="52"/>
      <c r="G60" s="136">
        <f>SUM(G52:G59)</f>
        <v>319700</v>
      </c>
      <c r="H60" s="136">
        <f aca="true" t="shared" si="5" ref="H60:S60">SUM(H52:H59)</f>
        <v>0</v>
      </c>
      <c r="I60" s="136">
        <f t="shared" si="5"/>
        <v>0</v>
      </c>
      <c r="J60" s="136">
        <f t="shared" si="5"/>
        <v>0</v>
      </c>
      <c r="K60" s="136">
        <f t="shared" si="5"/>
        <v>0</v>
      </c>
      <c r="L60" s="136">
        <f t="shared" si="5"/>
        <v>0</v>
      </c>
      <c r="M60" s="136">
        <f t="shared" si="5"/>
        <v>10700</v>
      </c>
      <c r="N60" s="136">
        <f t="shared" si="5"/>
        <v>0</v>
      </c>
      <c r="O60" s="136">
        <f t="shared" si="5"/>
        <v>0</v>
      </c>
      <c r="P60" s="136">
        <f t="shared" si="5"/>
        <v>250000</v>
      </c>
      <c r="Q60" s="136">
        <f t="shared" si="5"/>
        <v>0</v>
      </c>
      <c r="R60" s="136">
        <f t="shared" si="5"/>
        <v>50000</v>
      </c>
      <c r="S60" s="136">
        <f t="shared" si="5"/>
        <v>0</v>
      </c>
      <c r="T60" s="136">
        <f>SUM(T52:T59)</f>
        <v>310700</v>
      </c>
      <c r="U60" s="136">
        <f>SUM(U52:U59)</f>
        <v>9000</v>
      </c>
      <c r="V60" s="142"/>
    </row>
    <row r="61" spans="1:22" ht="21" customHeight="1" thickTop="1">
      <c r="A61" s="105" t="s">
        <v>265</v>
      </c>
      <c r="B61" s="279" t="s">
        <v>189</v>
      </c>
      <c r="C61" s="1"/>
      <c r="D61" s="285">
        <f>SUM(D62:D81)</f>
        <v>2690000</v>
      </c>
      <c r="E61" s="36"/>
      <c r="F61" s="52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142"/>
    </row>
    <row r="62" spans="1:22" s="460" customFormat="1" ht="21" customHeight="1">
      <c r="A62" s="477" t="s">
        <v>432</v>
      </c>
      <c r="B62" s="465"/>
      <c r="C62" s="478" t="s">
        <v>431</v>
      </c>
      <c r="D62" s="473">
        <v>400000</v>
      </c>
      <c r="E62" s="458"/>
      <c r="F62" s="459"/>
      <c r="G62" s="474">
        <f aca="true" t="shared" si="6" ref="G62:G69">+D62+E62-F62</f>
        <v>400000</v>
      </c>
      <c r="H62" s="474">
        <v>0</v>
      </c>
      <c r="I62" s="474">
        <v>0</v>
      </c>
      <c r="J62" s="474">
        <v>0</v>
      </c>
      <c r="K62" s="474">
        <v>0</v>
      </c>
      <c r="L62" s="474">
        <v>0</v>
      </c>
      <c r="M62" s="474">
        <v>0</v>
      </c>
      <c r="N62" s="474">
        <v>0</v>
      </c>
      <c r="O62" s="474">
        <v>0</v>
      </c>
      <c r="P62" s="474">
        <v>0</v>
      </c>
      <c r="Q62" s="474">
        <v>397000</v>
      </c>
      <c r="R62" s="474">
        <v>0</v>
      </c>
      <c r="S62" s="474">
        <v>0</v>
      </c>
      <c r="T62" s="447">
        <f aca="true" t="shared" si="7" ref="T62:T69">SUM(H62:S62)</f>
        <v>397000</v>
      </c>
      <c r="U62" s="479">
        <f aca="true" t="shared" si="8" ref="U62:U69">+G62-T62</f>
        <v>3000</v>
      </c>
      <c r="V62" s="480"/>
    </row>
    <row r="63" spans="1:22" ht="21" customHeight="1">
      <c r="A63" s="307" t="s">
        <v>433</v>
      </c>
      <c r="B63" s="1"/>
      <c r="C63" s="318" t="s">
        <v>431</v>
      </c>
      <c r="D63" s="162">
        <v>120000</v>
      </c>
      <c r="E63" s="36"/>
      <c r="F63" s="52"/>
      <c r="G63" s="89">
        <f t="shared" si="6"/>
        <v>120000</v>
      </c>
      <c r="H63" s="89">
        <v>0</v>
      </c>
      <c r="I63" s="89">
        <v>0</v>
      </c>
      <c r="J63" s="89">
        <v>0</v>
      </c>
      <c r="K63" s="89">
        <v>0</v>
      </c>
      <c r="L63" s="89">
        <v>119000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135">
        <f t="shared" si="7"/>
        <v>119000</v>
      </c>
      <c r="U63" s="441">
        <f t="shared" si="8"/>
        <v>1000</v>
      </c>
      <c r="V63" s="310"/>
    </row>
    <row r="64" spans="1:22" ht="21" customHeight="1">
      <c r="A64" s="307" t="s">
        <v>434</v>
      </c>
      <c r="B64" s="1"/>
      <c r="C64" s="318" t="s">
        <v>431</v>
      </c>
      <c r="D64" s="162">
        <v>120000</v>
      </c>
      <c r="E64" s="36"/>
      <c r="F64" s="52"/>
      <c r="G64" s="89">
        <f t="shared" si="6"/>
        <v>120000</v>
      </c>
      <c r="H64" s="89">
        <v>0</v>
      </c>
      <c r="I64" s="89">
        <v>0</v>
      </c>
      <c r="J64" s="89">
        <v>0</v>
      </c>
      <c r="K64" s="89">
        <v>0</v>
      </c>
      <c r="L64" s="89">
        <v>119000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135">
        <f t="shared" si="7"/>
        <v>119000</v>
      </c>
      <c r="U64" s="441">
        <f t="shared" si="8"/>
        <v>1000</v>
      </c>
      <c r="V64" s="310"/>
    </row>
    <row r="65" spans="1:22" s="460" customFormat="1" ht="21" customHeight="1">
      <c r="A65" s="477" t="s">
        <v>435</v>
      </c>
      <c r="B65" s="465"/>
      <c r="C65" s="478" t="s">
        <v>431</v>
      </c>
      <c r="D65" s="473">
        <v>210000</v>
      </c>
      <c r="E65" s="458"/>
      <c r="F65" s="459"/>
      <c r="G65" s="474">
        <f t="shared" si="6"/>
        <v>210000</v>
      </c>
      <c r="H65" s="474">
        <v>0</v>
      </c>
      <c r="I65" s="474">
        <v>0</v>
      </c>
      <c r="J65" s="474">
        <v>0</v>
      </c>
      <c r="K65" s="474">
        <v>0</v>
      </c>
      <c r="L65" s="474">
        <v>0</v>
      </c>
      <c r="M65" s="474">
        <v>0</v>
      </c>
      <c r="N65" s="474">
        <v>0</v>
      </c>
      <c r="O65" s="474">
        <v>0</v>
      </c>
      <c r="P65" s="474">
        <v>0</v>
      </c>
      <c r="Q65" s="474">
        <v>0</v>
      </c>
      <c r="R65" s="474">
        <v>0</v>
      </c>
      <c r="S65" s="474">
        <v>210000</v>
      </c>
      <c r="T65" s="447">
        <f t="shared" si="7"/>
        <v>210000</v>
      </c>
      <c r="U65" s="479">
        <f t="shared" si="8"/>
        <v>0</v>
      </c>
      <c r="V65" s="480"/>
    </row>
    <row r="66" spans="1:22" ht="21" customHeight="1">
      <c r="A66" s="307" t="s">
        <v>436</v>
      </c>
      <c r="B66" s="1"/>
      <c r="C66" s="318" t="s">
        <v>431</v>
      </c>
      <c r="D66" s="162">
        <v>15000</v>
      </c>
      <c r="E66" s="36"/>
      <c r="F66" s="52"/>
      <c r="G66" s="52">
        <f t="shared" si="6"/>
        <v>15000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9000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135">
        <f t="shared" si="7"/>
        <v>9000</v>
      </c>
      <c r="U66" s="429">
        <f t="shared" si="8"/>
        <v>6000</v>
      </c>
      <c r="V66" s="310"/>
    </row>
    <row r="67" spans="1:22" s="460" customFormat="1" ht="21" customHeight="1">
      <c r="A67" s="477" t="s">
        <v>437</v>
      </c>
      <c r="B67" s="465"/>
      <c r="C67" s="478" t="s">
        <v>431</v>
      </c>
      <c r="D67" s="473">
        <v>20000</v>
      </c>
      <c r="E67" s="458"/>
      <c r="F67" s="459">
        <v>5000</v>
      </c>
      <c r="G67" s="459">
        <f t="shared" si="6"/>
        <v>15000</v>
      </c>
      <c r="H67" s="474">
        <v>0</v>
      </c>
      <c r="I67" s="474">
        <v>0</v>
      </c>
      <c r="J67" s="474">
        <v>0</v>
      </c>
      <c r="K67" s="474">
        <v>0</v>
      </c>
      <c r="L67" s="474">
        <v>0</v>
      </c>
      <c r="M67" s="474">
        <v>0</v>
      </c>
      <c r="N67" s="474">
        <v>12000</v>
      </c>
      <c r="O67" s="474">
        <v>0</v>
      </c>
      <c r="P67" s="474">
        <v>0</v>
      </c>
      <c r="Q67" s="474">
        <v>0</v>
      </c>
      <c r="R67" s="474">
        <v>0</v>
      </c>
      <c r="S67" s="474">
        <v>0</v>
      </c>
      <c r="T67" s="447">
        <f t="shared" si="7"/>
        <v>12000</v>
      </c>
      <c r="U67" s="481">
        <f t="shared" si="8"/>
        <v>3000</v>
      </c>
      <c r="V67" s="480"/>
    </row>
    <row r="68" spans="1:22" s="460" customFormat="1" ht="21" customHeight="1">
      <c r="A68" s="477" t="s">
        <v>438</v>
      </c>
      <c r="B68" s="465"/>
      <c r="C68" s="478" t="s">
        <v>431</v>
      </c>
      <c r="D68" s="473">
        <v>260000</v>
      </c>
      <c r="E68" s="458"/>
      <c r="F68" s="459">
        <v>0</v>
      </c>
      <c r="G68" s="459">
        <f t="shared" si="6"/>
        <v>260000</v>
      </c>
      <c r="H68" s="474">
        <v>0</v>
      </c>
      <c r="I68" s="474">
        <v>0</v>
      </c>
      <c r="J68" s="474">
        <v>0</v>
      </c>
      <c r="K68" s="474">
        <v>0</v>
      </c>
      <c r="L68" s="474">
        <v>0</v>
      </c>
      <c r="M68" s="474">
        <v>0</v>
      </c>
      <c r="N68" s="474">
        <v>0</v>
      </c>
      <c r="O68" s="474">
        <v>0</v>
      </c>
      <c r="P68" s="474">
        <v>0</v>
      </c>
      <c r="Q68" s="474">
        <v>0</v>
      </c>
      <c r="R68" s="474">
        <v>0</v>
      </c>
      <c r="S68" s="474">
        <v>0</v>
      </c>
      <c r="T68" s="447">
        <f t="shared" si="7"/>
        <v>0</v>
      </c>
      <c r="U68" s="481">
        <f t="shared" si="8"/>
        <v>260000</v>
      </c>
      <c r="V68" s="480"/>
    </row>
    <row r="69" spans="1:22" s="460" customFormat="1" ht="21" customHeight="1">
      <c r="A69" s="477" t="s">
        <v>439</v>
      </c>
      <c r="B69" s="465"/>
      <c r="C69" s="478" t="s">
        <v>431</v>
      </c>
      <c r="D69" s="473">
        <v>480000</v>
      </c>
      <c r="E69" s="458"/>
      <c r="F69" s="459">
        <v>90000</v>
      </c>
      <c r="G69" s="459">
        <f t="shared" si="6"/>
        <v>390000</v>
      </c>
      <c r="H69" s="459">
        <v>0</v>
      </c>
      <c r="I69" s="459">
        <v>0</v>
      </c>
      <c r="J69" s="459">
        <v>0</v>
      </c>
      <c r="K69" s="459">
        <v>389500</v>
      </c>
      <c r="L69" s="459">
        <v>0</v>
      </c>
      <c r="M69" s="459">
        <v>0</v>
      </c>
      <c r="N69" s="459">
        <v>0</v>
      </c>
      <c r="O69" s="459">
        <v>0</v>
      </c>
      <c r="P69" s="459">
        <v>0</v>
      </c>
      <c r="Q69" s="459">
        <v>0</v>
      </c>
      <c r="R69" s="459">
        <v>0</v>
      </c>
      <c r="S69" s="459">
        <v>0</v>
      </c>
      <c r="T69" s="447">
        <f t="shared" si="7"/>
        <v>389500</v>
      </c>
      <c r="U69" s="482">
        <f t="shared" si="8"/>
        <v>500</v>
      </c>
      <c r="V69" s="480"/>
    </row>
    <row r="70" spans="1:22" ht="21" customHeight="1">
      <c r="A70" s="319"/>
      <c r="B70" s="141"/>
      <c r="C70" s="320"/>
      <c r="D70" s="114"/>
      <c r="E70" s="118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37"/>
      <c r="U70" s="174"/>
      <c r="V70" s="310"/>
    </row>
    <row r="71" spans="1:22" ht="21" customHeight="1">
      <c r="A71" s="720" t="s">
        <v>21</v>
      </c>
      <c r="B71" s="720"/>
      <c r="C71" s="720"/>
      <c r="D71" s="720"/>
      <c r="E71" s="720"/>
      <c r="F71" s="720"/>
      <c r="G71" s="720"/>
      <c r="H71" s="720"/>
      <c r="I71" s="720"/>
      <c r="J71" s="720"/>
      <c r="K71" s="720"/>
      <c r="L71" s="720"/>
      <c r="M71" s="720"/>
      <c r="N71" s="720"/>
      <c r="O71" s="720"/>
      <c r="P71" s="720"/>
      <c r="Q71" s="720"/>
      <c r="R71" s="720"/>
      <c r="S71" s="720"/>
      <c r="T71" s="720"/>
      <c r="U71" s="720"/>
      <c r="V71" s="310"/>
    </row>
    <row r="72" spans="1:22" ht="21" customHeight="1">
      <c r="A72" s="658" t="s">
        <v>489</v>
      </c>
      <c r="B72" s="723"/>
      <c r="C72" s="723"/>
      <c r="D72" s="723"/>
      <c r="E72" s="723"/>
      <c r="F72" s="723"/>
      <c r="G72" s="723"/>
      <c r="H72" s="723"/>
      <c r="I72" s="723"/>
      <c r="J72" s="723"/>
      <c r="K72" s="723"/>
      <c r="L72" s="723"/>
      <c r="M72" s="723"/>
      <c r="N72" s="723"/>
      <c r="O72" s="723"/>
      <c r="P72" s="723"/>
      <c r="Q72" s="723"/>
      <c r="R72" s="723"/>
      <c r="S72" s="723"/>
      <c r="T72" s="723"/>
      <c r="U72" s="723"/>
      <c r="V72" s="68"/>
    </row>
    <row r="73" spans="1:22" ht="21" customHeight="1">
      <c r="A73" s="659" t="s">
        <v>4</v>
      </c>
      <c r="B73" s="119"/>
      <c r="C73" s="715" t="s">
        <v>51</v>
      </c>
      <c r="D73" s="726"/>
      <c r="E73" s="120" t="s">
        <v>9</v>
      </c>
      <c r="F73" s="120" t="s">
        <v>9</v>
      </c>
      <c r="G73" s="120" t="s">
        <v>25</v>
      </c>
      <c r="H73" s="120" t="s">
        <v>26</v>
      </c>
      <c r="I73" s="120" t="s">
        <v>27</v>
      </c>
      <c r="J73" s="121" t="s">
        <v>28</v>
      </c>
      <c r="K73" s="120" t="s">
        <v>29</v>
      </c>
      <c r="L73" s="121" t="s">
        <v>30</v>
      </c>
      <c r="M73" s="120" t="s">
        <v>31</v>
      </c>
      <c r="N73" s="121" t="s">
        <v>32</v>
      </c>
      <c r="O73" s="120" t="s">
        <v>33</v>
      </c>
      <c r="P73" s="121" t="s">
        <v>34</v>
      </c>
      <c r="Q73" s="120" t="s">
        <v>35</v>
      </c>
      <c r="R73" s="121" t="s">
        <v>36</v>
      </c>
      <c r="S73" s="120" t="s">
        <v>37</v>
      </c>
      <c r="T73" s="121" t="s">
        <v>25</v>
      </c>
      <c r="U73" s="120" t="s">
        <v>6</v>
      </c>
      <c r="V73" s="68"/>
    </row>
    <row r="74" spans="1:22" ht="21" customHeight="1">
      <c r="A74" s="660"/>
      <c r="B74" s="92" t="s">
        <v>8</v>
      </c>
      <c r="C74" s="101" t="s">
        <v>9</v>
      </c>
      <c r="D74" s="94" t="s">
        <v>2</v>
      </c>
      <c r="E74" s="95" t="s">
        <v>10</v>
      </c>
      <c r="F74" s="95" t="s">
        <v>11</v>
      </c>
      <c r="G74" s="95"/>
      <c r="H74" s="182"/>
      <c r="I74" s="182"/>
      <c r="J74" s="172"/>
      <c r="K74" s="182"/>
      <c r="L74" s="172"/>
      <c r="M74" s="182"/>
      <c r="N74" s="172"/>
      <c r="O74" s="182"/>
      <c r="P74" s="172"/>
      <c r="Q74" s="182"/>
      <c r="R74" s="172"/>
      <c r="S74" s="182"/>
      <c r="T74" s="96"/>
      <c r="U74" s="95" t="s">
        <v>5</v>
      </c>
      <c r="V74" s="68"/>
    </row>
    <row r="75" spans="1:22" ht="21" customHeight="1">
      <c r="A75" s="396" t="s">
        <v>440</v>
      </c>
      <c r="B75" s="1"/>
      <c r="C75" s="318" t="s">
        <v>431</v>
      </c>
      <c r="D75" s="162">
        <v>70000</v>
      </c>
      <c r="E75" s="36"/>
      <c r="F75" s="52"/>
      <c r="G75" s="52">
        <f aca="true" t="shared" si="9" ref="G75:G80">+D75+E75-F75</f>
        <v>70000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67000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135">
        <f aca="true" t="shared" si="10" ref="T75:T80">SUM(H75:S75)</f>
        <v>67000</v>
      </c>
      <c r="U75" s="150">
        <f aca="true" t="shared" si="11" ref="U75:U80">+G75-T75</f>
        <v>3000</v>
      </c>
      <c r="V75" s="68"/>
    </row>
    <row r="76" spans="1:22" ht="21" customHeight="1">
      <c r="A76" s="396" t="s">
        <v>441</v>
      </c>
      <c r="B76" s="1"/>
      <c r="C76" s="318" t="s">
        <v>431</v>
      </c>
      <c r="D76" s="162">
        <v>130000</v>
      </c>
      <c r="E76" s="36">
        <v>0</v>
      </c>
      <c r="F76" s="52"/>
      <c r="G76" s="52">
        <f t="shared" si="9"/>
        <v>130000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114000</v>
      </c>
      <c r="T76" s="135">
        <f t="shared" si="10"/>
        <v>114000</v>
      </c>
      <c r="U76" s="150">
        <f t="shared" si="11"/>
        <v>16000</v>
      </c>
      <c r="V76" s="68"/>
    </row>
    <row r="77" spans="1:22" s="460" customFormat="1" ht="21" customHeight="1">
      <c r="A77" s="442" t="s">
        <v>442</v>
      </c>
      <c r="B77" s="465"/>
      <c r="C77" s="478" t="s">
        <v>431</v>
      </c>
      <c r="D77" s="473">
        <v>450000</v>
      </c>
      <c r="E77" s="458">
        <v>0</v>
      </c>
      <c r="F77" s="459"/>
      <c r="G77" s="459">
        <f t="shared" si="9"/>
        <v>450000</v>
      </c>
      <c r="H77" s="459">
        <v>0</v>
      </c>
      <c r="I77" s="459">
        <v>0</v>
      </c>
      <c r="J77" s="459">
        <v>0</v>
      </c>
      <c r="K77" s="459">
        <v>0</v>
      </c>
      <c r="L77" s="459">
        <v>0</v>
      </c>
      <c r="M77" s="459">
        <v>0</v>
      </c>
      <c r="N77" s="459">
        <v>0</v>
      </c>
      <c r="O77" s="459">
        <v>0</v>
      </c>
      <c r="P77" s="459">
        <v>0</v>
      </c>
      <c r="Q77" s="459">
        <v>0</v>
      </c>
      <c r="R77" s="459">
        <v>0</v>
      </c>
      <c r="S77" s="459">
        <v>345000</v>
      </c>
      <c r="T77" s="447">
        <f t="shared" si="10"/>
        <v>345000</v>
      </c>
      <c r="U77" s="482">
        <f t="shared" si="11"/>
        <v>105000</v>
      </c>
      <c r="V77" s="483"/>
    </row>
    <row r="78" spans="1:22" ht="21" customHeight="1">
      <c r="A78" s="396" t="s">
        <v>443</v>
      </c>
      <c r="B78" s="1"/>
      <c r="C78" s="318" t="s">
        <v>431</v>
      </c>
      <c r="D78" s="162">
        <v>300000</v>
      </c>
      <c r="E78" s="36">
        <v>0</v>
      </c>
      <c r="F78" s="52"/>
      <c r="G78" s="52">
        <f t="shared" si="9"/>
        <v>300000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300000</v>
      </c>
      <c r="T78" s="135">
        <f t="shared" si="10"/>
        <v>300000</v>
      </c>
      <c r="U78" s="150">
        <f t="shared" si="11"/>
        <v>0</v>
      </c>
      <c r="V78" s="68"/>
    </row>
    <row r="79" spans="1:22" ht="21" customHeight="1">
      <c r="A79" s="396" t="s">
        <v>444</v>
      </c>
      <c r="B79" s="1"/>
      <c r="C79" s="318" t="s">
        <v>431</v>
      </c>
      <c r="D79" s="162">
        <v>15000</v>
      </c>
      <c r="E79" s="36">
        <v>0</v>
      </c>
      <c r="F79" s="52"/>
      <c r="G79" s="52">
        <f>+D79+E79-F79</f>
        <v>15000</v>
      </c>
      <c r="H79" s="52">
        <v>0</v>
      </c>
      <c r="I79" s="52">
        <v>0</v>
      </c>
      <c r="J79" s="52">
        <v>0</v>
      </c>
      <c r="K79" s="52">
        <v>13800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135">
        <f>SUM(H79:S79)</f>
        <v>13800</v>
      </c>
      <c r="U79" s="150">
        <f>+G79-T79</f>
        <v>1200</v>
      </c>
      <c r="V79" s="68"/>
    </row>
    <row r="80" spans="1:22" ht="21" customHeight="1">
      <c r="A80" s="396" t="s">
        <v>445</v>
      </c>
      <c r="B80" s="1"/>
      <c r="C80" s="318" t="s">
        <v>431</v>
      </c>
      <c r="D80" s="162">
        <v>50000</v>
      </c>
      <c r="E80" s="36">
        <v>0</v>
      </c>
      <c r="F80" s="52"/>
      <c r="G80" s="52">
        <f t="shared" si="9"/>
        <v>50000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135">
        <f t="shared" si="10"/>
        <v>0</v>
      </c>
      <c r="U80" s="150">
        <f t="shared" si="11"/>
        <v>50000</v>
      </c>
      <c r="V80" s="68"/>
    </row>
    <row r="81" spans="1:22" ht="21" customHeight="1">
      <c r="A81" s="396" t="s">
        <v>446</v>
      </c>
      <c r="B81" s="1"/>
      <c r="C81" s="318" t="s">
        <v>431</v>
      </c>
      <c r="D81" s="162">
        <v>50000</v>
      </c>
      <c r="E81" s="36">
        <v>0</v>
      </c>
      <c r="F81" s="52"/>
      <c r="G81" s="52">
        <f>+D81+E81-F81</f>
        <v>50000</v>
      </c>
      <c r="H81" s="52">
        <v>0</v>
      </c>
      <c r="I81" s="52">
        <v>0</v>
      </c>
      <c r="J81" s="52">
        <v>0</v>
      </c>
      <c r="K81" s="52">
        <v>0</v>
      </c>
      <c r="L81" s="52">
        <v>49000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135">
        <f>SUM(H81:S81)</f>
        <v>49000</v>
      </c>
      <c r="U81" s="150">
        <f>+G81-T81</f>
        <v>1000</v>
      </c>
      <c r="V81" s="68"/>
    </row>
    <row r="82" spans="1:22" s="460" customFormat="1" ht="21" customHeight="1">
      <c r="A82" s="442" t="s">
        <v>451</v>
      </c>
      <c r="B82" s="465"/>
      <c r="C82" s="478" t="s">
        <v>450</v>
      </c>
      <c r="D82" s="473">
        <v>10000</v>
      </c>
      <c r="E82" s="458">
        <v>0</v>
      </c>
      <c r="F82" s="459"/>
      <c r="G82" s="459">
        <f>+D82+E82-F82</f>
        <v>10000</v>
      </c>
      <c r="H82" s="459">
        <v>0</v>
      </c>
      <c r="I82" s="459">
        <v>0</v>
      </c>
      <c r="J82" s="459">
        <v>0</v>
      </c>
      <c r="K82" s="459">
        <v>0</v>
      </c>
      <c r="L82" s="459">
        <v>0</v>
      </c>
      <c r="M82" s="459">
        <v>9500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47">
        <f>SUM(H82:S82)</f>
        <v>9500</v>
      </c>
      <c r="U82" s="482">
        <f>+G82-T82</f>
        <v>500</v>
      </c>
      <c r="V82" s="483"/>
    </row>
    <row r="83" spans="1:22" ht="21" customHeight="1" thickBot="1">
      <c r="A83" s="307"/>
      <c r="B83" s="1"/>
      <c r="C83" s="318"/>
      <c r="D83" s="193" t="s">
        <v>0</v>
      </c>
      <c r="E83" s="36"/>
      <c r="F83" s="52"/>
      <c r="G83" s="136">
        <f>SUM(G62:G82)</f>
        <v>2605000</v>
      </c>
      <c r="H83" s="136">
        <f aca="true" t="shared" si="12" ref="H83:U83">SUM(H62:H82)</f>
        <v>0</v>
      </c>
      <c r="I83" s="136">
        <f t="shared" si="12"/>
        <v>0</v>
      </c>
      <c r="J83" s="136">
        <f t="shared" si="12"/>
        <v>0</v>
      </c>
      <c r="K83" s="136">
        <f t="shared" si="12"/>
        <v>403300</v>
      </c>
      <c r="L83" s="136">
        <f t="shared" si="12"/>
        <v>287000</v>
      </c>
      <c r="M83" s="136">
        <f t="shared" si="12"/>
        <v>9500</v>
      </c>
      <c r="N83" s="136">
        <f t="shared" si="12"/>
        <v>88000</v>
      </c>
      <c r="O83" s="136">
        <f t="shared" si="12"/>
        <v>0</v>
      </c>
      <c r="P83" s="136">
        <f t="shared" si="12"/>
        <v>0</v>
      </c>
      <c r="Q83" s="136">
        <f t="shared" si="12"/>
        <v>397000</v>
      </c>
      <c r="R83" s="136">
        <f t="shared" si="12"/>
        <v>0</v>
      </c>
      <c r="S83" s="136">
        <f t="shared" si="12"/>
        <v>969000</v>
      </c>
      <c r="T83" s="136">
        <f t="shared" si="12"/>
        <v>2153800</v>
      </c>
      <c r="U83" s="136">
        <f t="shared" si="12"/>
        <v>451200</v>
      </c>
      <c r="V83" s="68"/>
    </row>
    <row r="84" spans="1:22" ht="21" customHeight="1" thickTop="1">
      <c r="A84" s="10" t="s">
        <v>233</v>
      </c>
      <c r="B84" s="1"/>
      <c r="C84" s="318"/>
      <c r="D84" s="162"/>
      <c r="E84" s="36"/>
      <c r="F84" s="52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135"/>
      <c r="U84" s="173"/>
      <c r="V84" s="68"/>
    </row>
    <row r="85" spans="1:22" ht="21" customHeight="1">
      <c r="A85" s="17" t="s">
        <v>277</v>
      </c>
      <c r="B85" s="1"/>
      <c r="C85" s="318"/>
      <c r="D85" s="162">
        <f>D86+D87+D88+D89+D90+D91+D92+D93</f>
        <v>0</v>
      </c>
      <c r="E85" s="36"/>
      <c r="F85" s="52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135"/>
      <c r="U85" s="150"/>
      <c r="V85" s="68"/>
    </row>
    <row r="86" spans="1:22" ht="21" customHeight="1">
      <c r="A86" s="307" t="s">
        <v>373</v>
      </c>
      <c r="B86" s="1"/>
      <c r="C86" s="294" t="s">
        <v>212</v>
      </c>
      <c r="D86" s="162">
        <v>0</v>
      </c>
      <c r="E86" s="36"/>
      <c r="F86" s="52">
        <v>0</v>
      </c>
      <c r="G86" s="89">
        <f aca="true" t="shared" si="13" ref="G86:G91">+D86+E86-F86</f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135">
        <f>SUM(H86:S86)</f>
        <v>0</v>
      </c>
      <c r="U86" s="150">
        <f>+G86-T86</f>
        <v>0</v>
      </c>
      <c r="V86" s="68"/>
    </row>
    <row r="87" spans="1:22" ht="21" customHeight="1">
      <c r="A87" s="307" t="s">
        <v>374</v>
      </c>
      <c r="B87" s="1"/>
      <c r="C87" s="294" t="s">
        <v>212</v>
      </c>
      <c r="D87" s="162">
        <v>0</v>
      </c>
      <c r="E87" s="36"/>
      <c r="F87" s="52">
        <v>0</v>
      </c>
      <c r="G87" s="89">
        <f t="shared" si="13"/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135">
        <f aca="true" t="shared" si="14" ref="T87:T94">SUM(H87:S87)</f>
        <v>0</v>
      </c>
      <c r="U87" s="150">
        <f aca="true" t="shared" si="15" ref="U87:U94">+G87-T87</f>
        <v>0</v>
      </c>
      <c r="V87" s="68"/>
    </row>
    <row r="88" spans="1:22" ht="21" customHeight="1">
      <c r="A88" s="307" t="s">
        <v>375</v>
      </c>
      <c r="B88" s="1"/>
      <c r="C88" s="294" t="s">
        <v>212</v>
      </c>
      <c r="D88" s="162">
        <v>0</v>
      </c>
      <c r="E88" s="36"/>
      <c r="F88" s="52">
        <v>0</v>
      </c>
      <c r="G88" s="89">
        <f t="shared" si="13"/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135">
        <f t="shared" si="14"/>
        <v>0</v>
      </c>
      <c r="U88" s="150">
        <f t="shared" si="15"/>
        <v>0</v>
      </c>
      <c r="V88" s="68"/>
    </row>
    <row r="89" spans="1:22" ht="21" customHeight="1">
      <c r="A89" s="307" t="s">
        <v>376</v>
      </c>
      <c r="B89" s="1"/>
      <c r="C89" s="294" t="s">
        <v>212</v>
      </c>
      <c r="D89" s="162">
        <v>0</v>
      </c>
      <c r="E89" s="36"/>
      <c r="F89" s="52">
        <v>0</v>
      </c>
      <c r="G89" s="89">
        <f t="shared" si="13"/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135">
        <f t="shared" si="14"/>
        <v>0</v>
      </c>
      <c r="U89" s="150">
        <f t="shared" si="15"/>
        <v>0</v>
      </c>
      <c r="V89" s="68"/>
    </row>
    <row r="90" spans="1:22" ht="21" customHeight="1">
      <c r="A90" s="307" t="s">
        <v>377</v>
      </c>
      <c r="B90" s="1"/>
      <c r="C90" s="294" t="s">
        <v>212</v>
      </c>
      <c r="D90" s="162">
        <v>0</v>
      </c>
      <c r="E90" s="36"/>
      <c r="F90" s="52">
        <v>0</v>
      </c>
      <c r="G90" s="89">
        <f t="shared" si="13"/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135">
        <f t="shared" si="14"/>
        <v>0</v>
      </c>
      <c r="U90" s="150">
        <f t="shared" si="15"/>
        <v>0</v>
      </c>
      <c r="V90" s="68"/>
    </row>
    <row r="91" spans="1:22" ht="21" customHeight="1">
      <c r="A91" s="307" t="s">
        <v>378</v>
      </c>
      <c r="B91" s="1"/>
      <c r="C91" s="294" t="s">
        <v>212</v>
      </c>
      <c r="D91" s="162">
        <v>0</v>
      </c>
      <c r="E91" s="36"/>
      <c r="F91" s="52">
        <v>0</v>
      </c>
      <c r="G91" s="89">
        <f t="shared" si="13"/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135">
        <f t="shared" si="14"/>
        <v>0</v>
      </c>
      <c r="U91" s="150">
        <f t="shared" si="15"/>
        <v>0</v>
      </c>
      <c r="V91" s="68"/>
    </row>
    <row r="92" spans="1:22" ht="21" customHeight="1">
      <c r="A92" s="307"/>
      <c r="B92" s="1"/>
      <c r="C92" s="318"/>
      <c r="D92" s="162"/>
      <c r="E92" s="36"/>
      <c r="F92" s="52"/>
      <c r="G92" s="89"/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135">
        <f t="shared" si="14"/>
        <v>0</v>
      </c>
      <c r="U92" s="150">
        <f t="shared" si="15"/>
        <v>0</v>
      </c>
      <c r="V92" s="68"/>
    </row>
    <row r="93" spans="1:22" ht="21" customHeight="1">
      <c r="A93" s="307"/>
      <c r="B93" s="1"/>
      <c r="C93" s="318"/>
      <c r="D93" s="162"/>
      <c r="E93" s="36"/>
      <c r="F93" s="52"/>
      <c r="G93" s="89"/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135">
        <f t="shared" si="14"/>
        <v>0</v>
      </c>
      <c r="U93" s="150">
        <f t="shared" si="15"/>
        <v>0</v>
      </c>
      <c r="V93" s="68"/>
    </row>
    <row r="94" spans="1:22" ht="21" customHeight="1">
      <c r="A94" s="307"/>
      <c r="B94" s="1"/>
      <c r="C94" s="318"/>
      <c r="D94" s="162"/>
      <c r="E94" s="36"/>
      <c r="F94" s="52"/>
      <c r="G94" s="89"/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135">
        <f t="shared" si="14"/>
        <v>0</v>
      </c>
      <c r="U94" s="150">
        <f t="shared" si="15"/>
        <v>0</v>
      </c>
      <c r="V94" s="68"/>
    </row>
    <row r="95" spans="1:22" ht="21" customHeight="1">
      <c r="A95" s="307"/>
      <c r="B95" s="1"/>
      <c r="C95" s="50"/>
      <c r="D95" s="162"/>
      <c r="E95" s="36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135"/>
      <c r="U95" s="150"/>
      <c r="V95" s="68"/>
    </row>
    <row r="96" spans="1:22" ht="21" customHeight="1" thickBot="1">
      <c r="A96" s="105"/>
      <c r="B96" s="1"/>
      <c r="C96" s="1"/>
      <c r="D96" s="193" t="s">
        <v>0</v>
      </c>
      <c r="E96" s="36"/>
      <c r="F96" s="52"/>
      <c r="G96" s="136">
        <f>SUM(G86:G95)</f>
        <v>0</v>
      </c>
      <c r="H96" s="136">
        <f aca="true" t="shared" si="16" ref="H96:U96">SUM(H86:H95)</f>
        <v>0</v>
      </c>
      <c r="I96" s="136">
        <f t="shared" si="16"/>
        <v>0</v>
      </c>
      <c r="J96" s="136">
        <f t="shared" si="16"/>
        <v>0</v>
      </c>
      <c r="K96" s="136">
        <f t="shared" si="16"/>
        <v>0</v>
      </c>
      <c r="L96" s="136">
        <f t="shared" si="16"/>
        <v>0</v>
      </c>
      <c r="M96" s="136">
        <f t="shared" si="16"/>
        <v>0</v>
      </c>
      <c r="N96" s="136">
        <f t="shared" si="16"/>
        <v>0</v>
      </c>
      <c r="O96" s="136">
        <f t="shared" si="16"/>
        <v>0</v>
      </c>
      <c r="P96" s="136">
        <f t="shared" si="16"/>
        <v>0</v>
      </c>
      <c r="Q96" s="136">
        <f t="shared" si="16"/>
        <v>0</v>
      </c>
      <c r="R96" s="136">
        <f t="shared" si="16"/>
        <v>0</v>
      </c>
      <c r="S96" s="136">
        <f t="shared" si="16"/>
        <v>0</v>
      </c>
      <c r="T96" s="136">
        <f t="shared" si="16"/>
        <v>0</v>
      </c>
      <c r="U96" s="136">
        <f t="shared" si="16"/>
        <v>0</v>
      </c>
      <c r="V96" s="68"/>
    </row>
    <row r="97" spans="1:23" ht="24.75" thickBot="1" thickTop="1">
      <c r="A97" s="144"/>
      <c r="B97" s="183"/>
      <c r="C97" s="1"/>
      <c r="D97" s="36" t="s">
        <v>7</v>
      </c>
      <c r="E97" s="52"/>
      <c r="F97" s="144"/>
      <c r="G97" s="243">
        <f>G12+G17+G25+G42+G48+G60+G83+G96</f>
        <v>4056240</v>
      </c>
      <c r="H97" s="243">
        <f aca="true" t="shared" si="17" ref="H97:U97">H12+H17+H25+H42+H48+H60+H83+H96</f>
        <v>60250</v>
      </c>
      <c r="I97" s="243">
        <f t="shared" si="17"/>
        <v>58450</v>
      </c>
      <c r="J97" s="243">
        <f t="shared" si="17"/>
        <v>72530</v>
      </c>
      <c r="K97" s="243">
        <f t="shared" si="17"/>
        <v>479250</v>
      </c>
      <c r="L97" s="243">
        <f t="shared" si="17"/>
        <v>352850</v>
      </c>
      <c r="M97" s="243">
        <f t="shared" si="17"/>
        <v>84217</v>
      </c>
      <c r="N97" s="243">
        <f t="shared" si="17"/>
        <v>162170</v>
      </c>
      <c r="O97" s="243">
        <f t="shared" si="17"/>
        <v>63880</v>
      </c>
      <c r="P97" s="243">
        <f t="shared" si="17"/>
        <v>352122.2</v>
      </c>
      <c r="Q97" s="243">
        <f t="shared" si="17"/>
        <v>482390</v>
      </c>
      <c r="R97" s="243">
        <f t="shared" si="17"/>
        <v>165765</v>
      </c>
      <c r="S97" s="243">
        <f t="shared" si="17"/>
        <v>1092315</v>
      </c>
      <c r="T97" s="243">
        <f t="shared" si="17"/>
        <v>3426189.2</v>
      </c>
      <c r="U97" s="243">
        <f t="shared" si="17"/>
        <v>630050.8</v>
      </c>
      <c r="V97" s="68"/>
      <c r="W97" s="175"/>
    </row>
    <row r="98" spans="1:23" ht="24" thickTop="1">
      <c r="A98" s="225"/>
      <c r="B98" s="131"/>
      <c r="C98" s="129"/>
      <c r="D98" s="226"/>
      <c r="E98" s="227"/>
      <c r="F98" s="227">
        <v>100000</v>
      </c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68"/>
      <c r="W98" s="175"/>
    </row>
    <row r="99" spans="1:23" ht="39.75">
      <c r="A99" s="253"/>
      <c r="B99" s="186"/>
      <c r="C99" s="141"/>
      <c r="D99" s="118"/>
      <c r="E99" s="147"/>
      <c r="F99" s="722">
        <f>G53+G58+G59+G62+G65+G67+G68+G69+G77+G82</f>
        <v>2044000</v>
      </c>
      <c r="G99" s="722"/>
      <c r="H99" s="496">
        <f>H53+H58+H59+H62+H65+H67+H68+H69+H77+H82</f>
        <v>0</v>
      </c>
      <c r="I99" s="496">
        <f aca="true" t="shared" si="18" ref="I99:T99">I53+I58+I59+I62+I65+I67+I68+I69+I77+I82</f>
        <v>0</v>
      </c>
      <c r="J99" s="496">
        <f t="shared" si="18"/>
        <v>0</v>
      </c>
      <c r="K99" s="496">
        <f t="shared" si="18"/>
        <v>389500</v>
      </c>
      <c r="L99" s="496">
        <f t="shared" si="18"/>
        <v>0</v>
      </c>
      <c r="M99" s="496">
        <f t="shared" si="18"/>
        <v>9500</v>
      </c>
      <c r="N99" s="496">
        <f t="shared" si="18"/>
        <v>12000</v>
      </c>
      <c r="O99" s="496">
        <f t="shared" si="18"/>
        <v>0</v>
      </c>
      <c r="P99" s="496">
        <f t="shared" si="18"/>
        <v>250000</v>
      </c>
      <c r="Q99" s="496">
        <f t="shared" si="18"/>
        <v>397000</v>
      </c>
      <c r="R99" s="496">
        <f t="shared" si="18"/>
        <v>50000</v>
      </c>
      <c r="S99" s="496">
        <f t="shared" si="18"/>
        <v>555000</v>
      </c>
      <c r="T99" s="496">
        <f t="shared" si="18"/>
        <v>1663000</v>
      </c>
      <c r="U99" s="245"/>
      <c r="V99" s="68"/>
      <c r="W99" s="175"/>
    </row>
    <row r="100" spans="1:23" ht="40.5" thickBot="1">
      <c r="A100" s="253"/>
      <c r="B100" s="186"/>
      <c r="C100" s="141"/>
      <c r="D100" s="118"/>
      <c r="E100" s="147"/>
      <c r="F100" s="68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68"/>
      <c r="W100" s="175"/>
    </row>
    <row r="101" spans="1:23" ht="24" thickTop="1">
      <c r="A101" s="225"/>
      <c r="B101" s="131"/>
      <c r="C101" s="129"/>
      <c r="D101" s="226"/>
      <c r="E101" s="227"/>
      <c r="F101" s="225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68"/>
      <c r="W101" s="175"/>
    </row>
    <row r="102" spans="1:23" ht="23.25">
      <c r="A102" s="300"/>
      <c r="B102" s="186"/>
      <c r="C102" s="141"/>
      <c r="D102" s="118"/>
      <c r="E102" s="147"/>
      <c r="F102" s="68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68"/>
      <c r="W102" s="175"/>
    </row>
    <row r="103" spans="1:23" ht="23.25">
      <c r="A103" s="300"/>
      <c r="B103" s="186"/>
      <c r="C103" s="141"/>
      <c r="D103" s="118"/>
      <c r="E103" s="147"/>
      <c r="F103" s="68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175"/>
      <c r="W103" s="175"/>
    </row>
    <row r="104" spans="1:23" ht="23.25">
      <c r="A104" s="68"/>
      <c r="B104" s="186"/>
      <c r="C104" s="141"/>
      <c r="D104" s="118"/>
      <c r="E104" s="147"/>
      <c r="F104" s="68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  <c r="V104" s="175"/>
      <c r="W104" s="175"/>
    </row>
    <row r="105" spans="1:23" ht="23.25">
      <c r="A105" s="68"/>
      <c r="B105" s="186"/>
      <c r="C105" s="141"/>
      <c r="D105" s="118"/>
      <c r="E105" s="147"/>
      <c r="F105" s="68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175"/>
      <c r="W105" s="175"/>
    </row>
    <row r="106" spans="1:23" ht="26.25">
      <c r="A106" s="329"/>
      <c r="B106" s="186"/>
      <c r="C106" s="141"/>
      <c r="D106" s="118"/>
      <c r="E106" s="147"/>
      <c r="F106" s="6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175"/>
      <c r="W106" s="175"/>
    </row>
    <row r="107" spans="1:23" ht="23.25">
      <c r="A107" s="68"/>
      <c r="B107" s="186"/>
      <c r="C107" s="141"/>
      <c r="D107" s="118"/>
      <c r="E107" s="147"/>
      <c r="F107" s="6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175"/>
      <c r="W107" s="175"/>
    </row>
    <row r="108" spans="1:23" ht="38.25">
      <c r="A108" s="330"/>
      <c r="B108" s="331"/>
      <c r="C108" s="332"/>
      <c r="D108" s="118"/>
      <c r="E108" s="147"/>
      <c r="F108" s="6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175"/>
      <c r="W108" s="175"/>
    </row>
    <row r="109" spans="1:23" ht="23.25">
      <c r="A109" s="68"/>
      <c r="B109" s="186"/>
      <c r="C109" s="141"/>
      <c r="D109" s="118"/>
      <c r="E109" s="147"/>
      <c r="F109" s="6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175"/>
      <c r="W109" s="175"/>
    </row>
    <row r="110" spans="1:23" ht="23.25">
      <c r="A110" s="68"/>
      <c r="B110" s="186"/>
      <c r="C110" s="141"/>
      <c r="D110" s="118"/>
      <c r="E110" s="147"/>
      <c r="F110" s="6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175"/>
      <c r="W110" s="175"/>
    </row>
    <row r="111" spans="1:23" ht="23.25">
      <c r="A111" s="68"/>
      <c r="B111" s="186"/>
      <c r="C111" s="141"/>
      <c r="D111" s="118"/>
      <c r="E111" s="147"/>
      <c r="F111" s="6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175"/>
      <c r="W111" s="175"/>
    </row>
    <row r="112" spans="1:23" ht="23.25">
      <c r="A112" s="68"/>
      <c r="B112" s="186"/>
      <c r="C112" s="141"/>
      <c r="D112" s="118"/>
      <c r="E112" s="147"/>
      <c r="F112" s="6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175"/>
      <c r="W112" s="175"/>
    </row>
    <row r="113" spans="1:23" ht="23.25">
      <c r="A113" s="68"/>
      <c r="B113" s="186"/>
      <c r="C113" s="141"/>
      <c r="D113" s="118"/>
      <c r="E113" s="147"/>
      <c r="F113" s="6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175"/>
      <c r="W113" s="175"/>
    </row>
    <row r="114" spans="1:23" ht="23.25">
      <c r="A114" s="68"/>
      <c r="B114" s="186"/>
      <c r="C114" s="141"/>
      <c r="D114" s="118"/>
      <c r="E114" s="147"/>
      <c r="F114" s="6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175"/>
      <c r="W114" s="175"/>
    </row>
    <row r="115" spans="22:23" ht="23.25">
      <c r="V115" s="175"/>
      <c r="W115" s="175"/>
    </row>
    <row r="116" spans="22:23" ht="23.25">
      <c r="V116" s="175"/>
      <c r="W116" s="175"/>
    </row>
    <row r="117" spans="22:23" ht="23.25">
      <c r="V117" s="175"/>
      <c r="W117" s="175"/>
    </row>
    <row r="118" spans="22:23" ht="23.25">
      <c r="V118" s="175"/>
      <c r="W118" s="175"/>
    </row>
    <row r="119" spans="22:23" ht="23.25">
      <c r="V119" s="175"/>
      <c r="W119" s="175"/>
    </row>
    <row r="120" spans="22:23" ht="23.25">
      <c r="V120" s="175"/>
      <c r="W120" s="175"/>
    </row>
    <row r="121" spans="22:23" ht="23.25">
      <c r="V121" s="175"/>
      <c r="W121" s="175"/>
    </row>
    <row r="122" ht="23.25">
      <c r="V122" s="175"/>
    </row>
    <row r="123" ht="23.25">
      <c r="V123" s="175"/>
    </row>
    <row r="124" ht="23.25">
      <c r="V124" s="175"/>
    </row>
    <row r="125" ht="23.25">
      <c r="V125" s="175"/>
    </row>
    <row r="126" ht="23.25">
      <c r="V126" s="175"/>
    </row>
    <row r="127" ht="23.25">
      <c r="V127" s="175"/>
    </row>
  </sheetData>
  <sheetProtection/>
  <mergeCells count="27">
    <mergeCell ref="F99:G99"/>
    <mergeCell ref="C4:D4"/>
    <mergeCell ref="C8:D8"/>
    <mergeCell ref="C5:D5"/>
    <mergeCell ref="C19:D19"/>
    <mergeCell ref="A1:U1"/>
    <mergeCell ref="A38:A39"/>
    <mergeCell ref="C2:D2"/>
    <mergeCell ref="C13:D13"/>
    <mergeCell ref="A36:U36"/>
    <mergeCell ref="C7:D7"/>
    <mergeCell ref="A2:A3"/>
    <mergeCell ref="C38:D38"/>
    <mergeCell ref="A71:U71"/>
    <mergeCell ref="A72:U72"/>
    <mergeCell ref="C20:D20"/>
    <mergeCell ref="C26:D26"/>
    <mergeCell ref="C27:D27"/>
    <mergeCell ref="C30:D30"/>
    <mergeCell ref="C40:D40"/>
    <mergeCell ref="C43:D43"/>
    <mergeCell ref="A73:A74"/>
    <mergeCell ref="C73:D73"/>
    <mergeCell ref="C51:D51"/>
    <mergeCell ref="A37:U37"/>
    <mergeCell ref="C49:D49"/>
    <mergeCell ref="C50:D50"/>
  </mergeCells>
  <printOptions/>
  <pageMargins left="0.7086614173228347" right="0.2362204724409449" top="0.3937007874015748" bottom="0.1968503937007874" header="1.0236220472440944" footer="0.5118110236220472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hp</cp:lastModifiedBy>
  <cp:lastPrinted>2018-10-21T13:57:32Z</cp:lastPrinted>
  <dcterms:created xsi:type="dcterms:W3CDTF">2007-09-20T20:33:03Z</dcterms:created>
  <dcterms:modified xsi:type="dcterms:W3CDTF">2019-05-15T04:48:15Z</dcterms:modified>
  <cp:category/>
  <cp:version/>
  <cp:contentType/>
  <cp:contentStatus/>
</cp:coreProperties>
</file>